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825" windowHeight="8025"/>
  </bookViews>
  <sheets>
    <sheet name="Hoja6" sheetId="6" r:id="rId1"/>
    <sheet name="Hoja7" sheetId="7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BC7" i="7"/>
  <c r="BB7"/>
  <c r="AW7"/>
  <c r="AU7"/>
  <c r="AS7"/>
  <c r="AM7"/>
  <c r="AK7"/>
  <c r="AI7"/>
  <c r="AL7" s="1"/>
  <c r="AC7"/>
  <c r="AA7"/>
  <c r="Y7"/>
  <c r="AB7" s="1"/>
  <c r="BC6"/>
  <c r="BB6"/>
  <c r="AT6"/>
  <c r="AU6" s="1"/>
  <c r="AS6"/>
  <c r="AR6"/>
  <c r="AQ6"/>
  <c r="AP6"/>
  <c r="AJ6"/>
  <c r="AK6" s="1"/>
  <c r="AI6"/>
  <c r="AH6"/>
  <c r="AG6"/>
  <c r="AF6"/>
  <c r="Z6"/>
  <c r="AA6" s="1"/>
  <c r="Y6"/>
  <c r="X6"/>
  <c r="W6"/>
  <c r="V6"/>
  <c r="BC5"/>
  <c r="BB5"/>
  <c r="AT5"/>
  <c r="AU5" s="1"/>
  <c r="AS5"/>
  <c r="AR5"/>
  <c r="AQ5"/>
  <c r="AP5"/>
  <c r="AJ5"/>
  <c r="AK5" s="1"/>
  <c r="AI5"/>
  <c r="AH5"/>
  <c r="AG5"/>
  <c r="AF5"/>
  <c r="Z5"/>
  <c r="AA5" s="1"/>
  <c r="Y5"/>
  <c r="X5"/>
  <c r="W5"/>
  <c r="V5"/>
  <c r="BC4"/>
  <c r="BB4"/>
  <c r="AT4"/>
  <c r="AU4" s="1"/>
  <c r="AS4"/>
  <c r="AR4"/>
  <c r="AQ4"/>
  <c r="AP4"/>
  <c r="AJ4"/>
  <c r="AK4" s="1"/>
  <c r="AI4"/>
  <c r="AH4"/>
  <c r="AG4"/>
  <c r="AF4"/>
  <c r="Z4"/>
  <c r="AA4" s="1"/>
  <c r="Y4"/>
  <c r="X4"/>
  <c r="W4"/>
  <c r="V4"/>
  <c r="BC3"/>
  <c r="BB3"/>
  <c r="AT3"/>
  <c r="AU3" s="1"/>
  <c r="AS3"/>
  <c r="AR3"/>
  <c r="AQ3"/>
  <c r="AP3"/>
  <c r="AJ3"/>
  <c r="AK3" s="1"/>
  <c r="AI3"/>
  <c r="AH3"/>
  <c r="AG3"/>
  <c r="AF3"/>
  <c r="Z3"/>
  <c r="AA3" s="1"/>
  <c r="Y3"/>
  <c r="X3"/>
  <c r="W3"/>
  <c r="V3"/>
  <c r="I299" i="6"/>
  <c r="I300" s="1"/>
  <c r="I301" s="1"/>
  <c r="I302" s="1"/>
  <c r="I303" s="1"/>
  <c r="I304" s="1"/>
  <c r="I305" s="1"/>
  <c r="I306" s="1"/>
  <c r="I307" s="1"/>
  <c r="I285"/>
  <c r="I286" s="1"/>
  <c r="I287" s="1"/>
  <c r="I288" s="1"/>
  <c r="I289" s="1"/>
  <c r="I290" s="1"/>
  <c r="I291" s="1"/>
  <c r="I292" s="1"/>
  <c r="I293" s="1"/>
  <c r="A253"/>
  <c r="A254" s="1"/>
  <c r="A255" s="1"/>
  <c r="A256" s="1"/>
  <c r="A257" s="1"/>
  <c r="A258" s="1"/>
  <c r="A259" s="1"/>
  <c r="A260" s="1"/>
  <c r="A261" s="1"/>
  <c r="A262" s="1"/>
  <c r="L228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I213"/>
  <c r="I214" s="1"/>
  <c r="I215" s="1"/>
  <c r="I216" s="1"/>
  <c r="I217" s="1"/>
  <c r="I218" s="1"/>
  <c r="I219" s="1"/>
  <c r="I220" s="1"/>
  <c r="I221" s="1"/>
  <c r="I222" s="1"/>
  <c r="I223" s="1"/>
  <c r="H204"/>
  <c r="H205" s="1"/>
  <c r="H206" s="1"/>
  <c r="H207" s="1"/>
  <c r="H208" s="1"/>
  <c r="I162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61"/>
  <c r="J135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I114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92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72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71"/>
  <c r="AR60"/>
  <c r="AQ60"/>
  <c r="AH60"/>
  <c r="AG60"/>
  <c r="X60"/>
  <c r="W60"/>
  <c r="BA59"/>
  <c r="AZ59"/>
  <c r="AQ59"/>
  <c r="AP59"/>
  <c r="AO59"/>
  <c r="AN59"/>
  <c r="AM59"/>
  <c r="AL59"/>
  <c r="AG59"/>
  <c r="AF59"/>
  <c r="AE59"/>
  <c r="AD59"/>
  <c r="AC59"/>
  <c r="AB59"/>
  <c r="Y59"/>
  <c r="W59"/>
  <c r="V59"/>
  <c r="U59"/>
  <c r="T59"/>
  <c r="S59"/>
  <c r="R59"/>
  <c r="BA58"/>
  <c r="AZ58"/>
  <c r="AQ58"/>
  <c r="AP58"/>
  <c r="AO58"/>
  <c r="AN58"/>
  <c r="AM58"/>
  <c r="AL58"/>
  <c r="AG58"/>
  <c r="AF58"/>
  <c r="AE58"/>
  <c r="AD58"/>
  <c r="AC58"/>
  <c r="AB58"/>
  <c r="Y58"/>
  <c r="W58"/>
  <c r="V58"/>
  <c r="U58"/>
  <c r="T58"/>
  <c r="S58"/>
  <c r="R58"/>
  <c r="BA57"/>
  <c r="AZ57"/>
  <c r="AQ57"/>
  <c r="AP57"/>
  <c r="AO57"/>
  <c r="AN57"/>
  <c r="AM57"/>
  <c r="AL57"/>
  <c r="AG57"/>
  <c r="AF57"/>
  <c r="AE57"/>
  <c r="AD57"/>
  <c r="AC57"/>
  <c r="AB57"/>
  <c r="W57"/>
  <c r="V57"/>
  <c r="U57"/>
  <c r="T57"/>
  <c r="S57"/>
  <c r="R57"/>
  <c r="AR56"/>
  <c r="AH56"/>
  <c r="X56"/>
  <c r="W56"/>
  <c r="AR55"/>
  <c r="AH55"/>
  <c r="X55"/>
  <c r="W55"/>
  <c r="AR54"/>
  <c r="AH54"/>
  <c r="X54"/>
  <c r="W54"/>
  <c r="BA53"/>
  <c r="AZ53"/>
  <c r="AS53"/>
  <c r="AQ53"/>
  <c r="AP53"/>
  <c r="AO53"/>
  <c r="AN53"/>
  <c r="AM53"/>
  <c r="AL53"/>
  <c r="AI53"/>
  <c r="AG53"/>
  <c r="AF53"/>
  <c r="AE53"/>
  <c r="AD53"/>
  <c r="AC53"/>
  <c r="AB53"/>
  <c r="Y53"/>
  <c r="W53"/>
  <c r="V53"/>
  <c r="U53"/>
  <c r="T53"/>
  <c r="S53"/>
  <c r="R53"/>
  <c r="BA52"/>
  <c r="AZ52"/>
  <c r="AS52"/>
  <c r="AQ52"/>
  <c r="AP52"/>
  <c r="AO52"/>
  <c r="AN52"/>
  <c r="AM52"/>
  <c r="AL52"/>
  <c r="AI52"/>
  <c r="AG52"/>
  <c r="AF52"/>
  <c r="AE52"/>
  <c r="AD52"/>
  <c r="AC52"/>
  <c r="AB52"/>
  <c r="Y52"/>
  <c r="W52"/>
  <c r="V52"/>
  <c r="U52"/>
  <c r="T52"/>
  <c r="S52"/>
  <c r="R52"/>
  <c r="BA51"/>
  <c r="AZ51"/>
  <c r="AQ51"/>
  <c r="AP51"/>
  <c r="AO51"/>
  <c r="AN51"/>
  <c r="AM51"/>
  <c r="AL51"/>
  <c r="AG51"/>
  <c r="AF51"/>
  <c r="AE51"/>
  <c r="AD51"/>
  <c r="AC51"/>
  <c r="AB51"/>
  <c r="W51"/>
  <c r="V51"/>
  <c r="U51"/>
  <c r="T51"/>
  <c r="S51"/>
  <c r="R51"/>
  <c r="BA50"/>
  <c r="AZ50"/>
  <c r="AQ50"/>
  <c r="AP50"/>
  <c r="AO50"/>
  <c r="AN50"/>
  <c r="AM50"/>
  <c r="AL50"/>
  <c r="AG50"/>
  <c r="AF50"/>
  <c r="AE50"/>
  <c r="AD50"/>
  <c r="AC50"/>
  <c r="AB50"/>
  <c r="W50"/>
  <c r="V50"/>
  <c r="U50"/>
  <c r="T50"/>
  <c r="S50"/>
  <c r="R50"/>
  <c r="AR49"/>
  <c r="AQ49"/>
  <c r="AH49"/>
  <c r="AG49"/>
  <c r="X49"/>
  <c r="W49"/>
  <c r="AR48"/>
  <c r="AQ48"/>
  <c r="AH48"/>
  <c r="AG48"/>
  <c r="X48"/>
  <c r="W48"/>
  <c r="AR47"/>
  <c r="AQ47"/>
  <c r="AH47"/>
  <c r="AG47"/>
  <c r="X47"/>
  <c r="W47"/>
  <c r="AR45"/>
  <c r="AH45"/>
  <c r="X45"/>
  <c r="BA44"/>
  <c r="AZ44"/>
  <c r="AS44"/>
  <c r="AQ44"/>
  <c r="AP44"/>
  <c r="AO44"/>
  <c r="AN44"/>
  <c r="AM44"/>
  <c r="AL44"/>
  <c r="AI44"/>
  <c r="AG44"/>
  <c r="AF44"/>
  <c r="AE44"/>
  <c r="AD44"/>
  <c r="AC44"/>
  <c r="AB44"/>
  <c r="Y44"/>
  <c r="W44"/>
  <c r="V44"/>
  <c r="U44"/>
  <c r="T44"/>
  <c r="S44"/>
  <c r="R44"/>
  <c r="BA43"/>
  <c r="AZ43"/>
  <c r="AS43"/>
  <c r="AQ43"/>
  <c r="AP43"/>
  <c r="AO43"/>
  <c r="AN43"/>
  <c r="AM43"/>
  <c r="AL43"/>
  <c r="AI43"/>
  <c r="AG43"/>
  <c r="AF43"/>
  <c r="AE43"/>
  <c r="AD43"/>
  <c r="AC43"/>
  <c r="AB43"/>
  <c r="Y43"/>
  <c r="W43"/>
  <c r="V43"/>
  <c r="U43"/>
  <c r="T43"/>
  <c r="S43"/>
  <c r="R43"/>
  <c r="BA42"/>
  <c r="AZ42"/>
  <c r="AQ42"/>
  <c r="AP42"/>
  <c r="AO42"/>
  <c r="AN42"/>
  <c r="AM42"/>
  <c r="AL42"/>
  <c r="AG42"/>
  <c r="AF42"/>
  <c r="AE42"/>
  <c r="AD42"/>
  <c r="AC42"/>
  <c r="AB42"/>
  <c r="W42"/>
  <c r="V42"/>
  <c r="U42"/>
  <c r="T42"/>
  <c r="S42"/>
  <c r="R42"/>
  <c r="BA41"/>
  <c r="AZ41"/>
  <c r="AQ41"/>
  <c r="AP41"/>
  <c r="AO41"/>
  <c r="AN41"/>
  <c r="AM41"/>
  <c r="AL41"/>
  <c r="AG41"/>
  <c r="AF41"/>
  <c r="AE41"/>
  <c r="AD41"/>
  <c r="AC41"/>
  <c r="AB41"/>
  <c r="W41"/>
  <c r="V41"/>
  <c r="U41"/>
  <c r="T41"/>
  <c r="S41"/>
  <c r="R41"/>
  <c r="AR40"/>
  <c r="AQ40"/>
  <c r="AH40"/>
  <c r="AG40"/>
  <c r="X40"/>
  <c r="W40"/>
  <c r="AR39"/>
  <c r="AQ39"/>
  <c r="AH39"/>
  <c r="AG39"/>
  <c r="X39"/>
  <c r="W39"/>
  <c r="AR38"/>
  <c r="AQ38"/>
  <c r="AH38"/>
  <c r="AG38"/>
  <c r="X38"/>
  <c r="W38"/>
  <c r="AR36"/>
  <c r="AH36"/>
  <c r="X36"/>
  <c r="BA35"/>
  <c r="AZ35"/>
  <c r="AS35"/>
  <c r="AQ35"/>
  <c r="AP35"/>
  <c r="AO35"/>
  <c r="AN35"/>
  <c r="AM35"/>
  <c r="AL35"/>
  <c r="AI35"/>
  <c r="AG35"/>
  <c r="AF35"/>
  <c r="AE35"/>
  <c r="AD35"/>
  <c r="AC35"/>
  <c r="AB35"/>
  <c r="Y35"/>
  <c r="W35"/>
  <c r="V35"/>
  <c r="U35"/>
  <c r="T35"/>
  <c r="S35"/>
  <c r="R35"/>
  <c r="BA34"/>
  <c r="AZ34"/>
  <c r="AS34"/>
  <c r="AQ34"/>
  <c r="AP34"/>
  <c r="AO34"/>
  <c r="AN34"/>
  <c r="AM34"/>
  <c r="AL34"/>
  <c r="AI34"/>
  <c r="AG34"/>
  <c r="AF34"/>
  <c r="AE34"/>
  <c r="AD34"/>
  <c r="AC34"/>
  <c r="AB34"/>
  <c r="Y34"/>
  <c r="W34"/>
  <c r="V34"/>
  <c r="U34"/>
  <c r="T34"/>
  <c r="S34"/>
  <c r="R34"/>
  <c r="BA33"/>
  <c r="AZ33"/>
  <c r="AQ33"/>
  <c r="AP33"/>
  <c r="AO33"/>
  <c r="AN33"/>
  <c r="AM33"/>
  <c r="AL33"/>
  <c r="AG33"/>
  <c r="AF33"/>
  <c r="AE33"/>
  <c r="AD33"/>
  <c r="AC33"/>
  <c r="AB33"/>
  <c r="W33"/>
  <c r="V33"/>
  <c r="U33"/>
  <c r="T33"/>
  <c r="S33"/>
  <c r="R33"/>
  <c r="BA32"/>
  <c r="AZ32"/>
  <c r="AQ32"/>
  <c r="AP32"/>
  <c r="AO32"/>
  <c r="AN32"/>
  <c r="AM32"/>
  <c r="AL32"/>
  <c r="AG32"/>
  <c r="AF32"/>
  <c r="AE32"/>
  <c r="AD32"/>
  <c r="AC32"/>
  <c r="AB32"/>
  <c r="W32"/>
  <c r="V32"/>
  <c r="U32"/>
  <c r="T32"/>
  <c r="S32"/>
  <c r="R32"/>
  <c r="AR31"/>
  <c r="AQ31"/>
  <c r="AH31"/>
  <c r="AG31"/>
  <c r="X31"/>
  <c r="W31"/>
  <c r="AR30"/>
  <c r="AQ30"/>
  <c r="AH30"/>
  <c r="AG30"/>
  <c r="X30"/>
  <c r="W30"/>
  <c r="AR29"/>
  <c r="AQ29"/>
  <c r="AH29"/>
  <c r="AG29"/>
  <c r="X29"/>
  <c r="W29"/>
  <c r="BA28"/>
  <c r="AZ28"/>
  <c r="AQ28"/>
  <c r="AP28"/>
  <c r="AO28"/>
  <c r="AN28"/>
  <c r="AM28"/>
  <c r="AL28"/>
  <c r="AG28"/>
  <c r="AF28"/>
  <c r="AE28"/>
  <c r="AD28"/>
  <c r="AC28"/>
  <c r="AB28"/>
  <c r="W28"/>
  <c r="V28"/>
  <c r="U28"/>
  <c r="T28"/>
  <c r="S28"/>
  <c r="R28"/>
  <c r="BA27"/>
  <c r="AZ27"/>
  <c r="AQ27"/>
  <c r="AP27"/>
  <c r="AO27"/>
  <c r="AN27"/>
  <c r="AM27"/>
  <c r="AL27"/>
  <c r="AG27"/>
  <c r="AF27"/>
  <c r="AE27"/>
  <c r="AD27"/>
  <c r="AC27"/>
  <c r="AB27"/>
  <c r="W27"/>
  <c r="V27"/>
  <c r="U27"/>
  <c r="T27"/>
  <c r="S27"/>
  <c r="R27"/>
  <c r="BA26"/>
  <c r="AZ26"/>
  <c r="AQ26"/>
  <c r="AP26"/>
  <c r="AO26"/>
  <c r="AN26"/>
  <c r="AM26"/>
  <c r="AL26"/>
  <c r="AG26"/>
  <c r="AF26"/>
  <c r="AE26"/>
  <c r="AD26"/>
  <c r="AC26"/>
  <c r="AB26"/>
  <c r="W26"/>
  <c r="V26"/>
  <c r="U26"/>
  <c r="T26"/>
  <c r="S26"/>
  <c r="R26"/>
  <c r="BA25"/>
  <c r="AZ25"/>
  <c r="AU25"/>
  <c r="AT25"/>
  <c r="AQ25"/>
  <c r="AP25"/>
  <c r="AN25"/>
  <c r="AM25"/>
  <c r="AL25"/>
  <c r="AK25"/>
  <c r="AJ25"/>
  <c r="AG25"/>
  <c r="AF25"/>
  <c r="AD25"/>
  <c r="AC25"/>
  <c r="AB25"/>
  <c r="AA25"/>
  <c r="Z25"/>
  <c r="W25"/>
  <c r="V25"/>
  <c r="T25"/>
  <c r="S25"/>
  <c r="R25"/>
  <c r="BA24"/>
  <c r="AZ24"/>
  <c r="AU24"/>
  <c r="AT24"/>
  <c r="AQ24"/>
  <c r="AP24"/>
  <c r="AN24"/>
  <c r="AM24"/>
  <c r="AL24"/>
  <c r="AK24"/>
  <c r="AJ24"/>
  <c r="AG24"/>
  <c r="AF24"/>
  <c r="AD24"/>
  <c r="AC24"/>
  <c r="AB24"/>
  <c r="AA24"/>
  <c r="Z24"/>
  <c r="W24"/>
  <c r="V24"/>
  <c r="T24"/>
  <c r="S24"/>
  <c r="R24"/>
  <c r="BA23"/>
  <c r="AZ23"/>
  <c r="AU23"/>
  <c r="AT23"/>
  <c r="AQ23"/>
  <c r="AP23"/>
  <c r="AN23"/>
  <c r="AM23"/>
  <c r="AL23"/>
  <c r="AK23"/>
  <c r="AJ23"/>
  <c r="AG23"/>
  <c r="AF23"/>
  <c r="AD23"/>
  <c r="AC23"/>
  <c r="AB23"/>
  <c r="AA23"/>
  <c r="Z23"/>
  <c r="W23"/>
  <c r="V23"/>
  <c r="T23"/>
  <c r="S23"/>
  <c r="R23"/>
  <c r="BA22"/>
  <c r="AZ22"/>
  <c r="AQ22"/>
  <c r="AP22"/>
  <c r="AO22"/>
  <c r="AN22"/>
  <c r="AM22"/>
  <c r="AL22"/>
  <c r="AG22"/>
  <c r="AF22"/>
  <c r="AE22"/>
  <c r="AD22"/>
  <c r="AC22"/>
  <c r="AB22"/>
  <c r="W22"/>
  <c r="V22"/>
  <c r="U22"/>
  <c r="T22"/>
  <c r="S22"/>
  <c r="R22"/>
  <c r="BA21"/>
  <c r="AZ21"/>
  <c r="AQ21"/>
  <c r="AP21"/>
  <c r="AO21"/>
  <c r="AN21"/>
  <c r="AM21"/>
  <c r="AL21"/>
  <c r="AG21"/>
  <c r="AF21"/>
  <c r="AE21"/>
  <c r="AD21"/>
  <c r="AC21"/>
  <c r="AB21"/>
  <c r="W21"/>
  <c r="V21"/>
  <c r="U21"/>
  <c r="T21"/>
  <c r="S21"/>
  <c r="R21"/>
  <c r="BA20"/>
  <c r="AZ20"/>
  <c r="AQ20"/>
  <c r="AP20"/>
  <c r="AO20"/>
  <c r="AN20"/>
  <c r="AM20"/>
  <c r="AL20"/>
  <c r="AG20"/>
  <c r="AF20"/>
  <c r="AE20"/>
  <c r="AD20"/>
  <c r="AC20"/>
  <c r="AB20"/>
  <c r="W20"/>
  <c r="V20"/>
  <c r="U20"/>
  <c r="T20"/>
  <c r="S20"/>
  <c r="R20"/>
  <c r="BA19"/>
  <c r="AZ19"/>
  <c r="AQ19"/>
  <c r="AP19"/>
  <c r="AO19"/>
  <c r="AN19"/>
  <c r="AM19"/>
  <c r="AL19"/>
  <c r="AG19"/>
  <c r="AF19"/>
  <c r="AE19"/>
  <c r="AD19"/>
  <c r="AC19"/>
  <c r="AB19"/>
  <c r="W19"/>
  <c r="V19"/>
  <c r="U19"/>
  <c r="T19"/>
  <c r="S19"/>
  <c r="R19"/>
  <c r="BA18"/>
  <c r="AZ18"/>
  <c r="AU18"/>
  <c r="AT18"/>
  <c r="AQ18"/>
  <c r="AP18"/>
  <c r="AN18"/>
  <c r="AM18"/>
  <c r="AL18"/>
  <c r="AK18"/>
  <c r="AJ18"/>
  <c r="AG18"/>
  <c r="AF18"/>
  <c r="AD18"/>
  <c r="AC18"/>
  <c r="AB18"/>
  <c r="AA18"/>
  <c r="Z18"/>
  <c r="W18"/>
  <c r="V18"/>
  <c r="T18"/>
  <c r="S18"/>
  <c r="R18"/>
  <c r="BA17"/>
  <c r="AZ17"/>
  <c r="AU17"/>
  <c r="AT17"/>
  <c r="AQ17"/>
  <c r="AP17"/>
  <c r="AN17"/>
  <c r="AM17"/>
  <c r="AL17"/>
  <c r="AK17"/>
  <c r="AJ17"/>
  <c r="AG17"/>
  <c r="AF17"/>
  <c r="AD17"/>
  <c r="AC17"/>
  <c r="AB17"/>
  <c r="AA17"/>
  <c r="Z17"/>
  <c r="W17"/>
  <c r="V17"/>
  <c r="T17"/>
  <c r="S17"/>
  <c r="R17"/>
  <c r="BA16"/>
  <c r="AZ16"/>
  <c r="AU16"/>
  <c r="AT16"/>
  <c r="AQ16"/>
  <c r="AP16"/>
  <c r="AN16"/>
  <c r="AM16"/>
  <c r="AL16"/>
  <c r="AK16"/>
  <c r="AJ16"/>
  <c r="AG16"/>
  <c r="AF16"/>
  <c r="AD16"/>
  <c r="AC16"/>
  <c r="AB16"/>
  <c r="AA16"/>
  <c r="Z16"/>
  <c r="W16"/>
  <c r="V16"/>
  <c r="T16"/>
  <c r="S16"/>
  <c r="R16"/>
  <c r="BA15"/>
  <c r="AZ15"/>
  <c r="AQ15"/>
  <c r="AP15"/>
  <c r="AO15"/>
  <c r="AN15"/>
  <c r="AM15"/>
  <c r="AL15"/>
  <c r="AG15"/>
  <c r="AF15"/>
  <c r="AE15"/>
  <c r="AD15"/>
  <c r="AC15"/>
  <c r="AB15"/>
  <c r="W15"/>
  <c r="V15"/>
  <c r="U15"/>
  <c r="T15"/>
  <c r="S15"/>
  <c r="R15"/>
  <c r="BA14"/>
  <c r="AZ14"/>
  <c r="AQ14"/>
  <c r="AP14"/>
  <c r="AO14"/>
  <c r="AN14"/>
  <c r="AM14"/>
  <c r="AL14"/>
  <c r="AG14"/>
  <c r="AF14"/>
  <c r="AE14"/>
  <c r="AD14"/>
  <c r="AC14"/>
  <c r="AB14"/>
  <c r="W14"/>
  <c r="V14"/>
  <c r="U14"/>
  <c r="T14"/>
  <c r="S14"/>
  <c r="R14"/>
  <c r="BA13"/>
  <c r="AZ13"/>
  <c r="AQ13"/>
  <c r="AP13"/>
  <c r="AO13"/>
  <c r="AN13"/>
  <c r="AM13"/>
  <c r="AL13"/>
  <c r="AG13"/>
  <c r="AF13"/>
  <c r="AE13"/>
  <c r="AD13"/>
  <c r="AC13"/>
  <c r="AB13"/>
  <c r="W13"/>
  <c r="V13"/>
  <c r="U13"/>
  <c r="T13"/>
  <c r="S13"/>
  <c r="R13"/>
  <c r="BA12"/>
  <c r="AZ12"/>
  <c r="AQ12"/>
  <c r="AP12"/>
  <c r="AO12"/>
  <c r="AN12"/>
  <c r="AM12"/>
  <c r="AL12"/>
  <c r="AG12"/>
  <c r="AF12"/>
  <c r="AE12"/>
  <c r="AD12"/>
  <c r="AC12"/>
  <c r="AB12"/>
  <c r="W12"/>
  <c r="V12"/>
  <c r="U12"/>
  <c r="T12"/>
  <c r="S12"/>
  <c r="R12"/>
  <c r="BA11"/>
  <c r="AZ11"/>
  <c r="AU11"/>
  <c r="AT11"/>
  <c r="AQ11"/>
  <c r="AP11"/>
  <c r="AO11"/>
  <c r="AN11"/>
  <c r="AM11"/>
  <c r="AL11"/>
  <c r="AK11"/>
  <c r="AJ11"/>
  <c r="AG11"/>
  <c r="AF11"/>
  <c r="AE11"/>
  <c r="AD11"/>
  <c r="AC11"/>
  <c r="AB11"/>
  <c r="AA11"/>
  <c r="Z11"/>
  <c r="W11"/>
  <c r="V11"/>
  <c r="U11"/>
  <c r="T11"/>
  <c r="S11"/>
  <c r="R11"/>
  <c r="BA10"/>
  <c r="AZ10"/>
  <c r="AU10"/>
  <c r="AT10"/>
  <c r="AQ10"/>
  <c r="AP10"/>
  <c r="AO10"/>
  <c r="AN10"/>
  <c r="AM10"/>
  <c r="AL10"/>
  <c r="AK10"/>
  <c r="AJ10"/>
  <c r="AG10"/>
  <c r="AF10"/>
  <c r="AE10"/>
  <c r="AD10"/>
  <c r="AC10"/>
  <c r="AB10"/>
  <c r="AA10"/>
  <c r="Z10"/>
  <c r="W10"/>
  <c r="V10"/>
  <c r="U10"/>
  <c r="T10"/>
  <c r="S10"/>
  <c r="R10"/>
  <c r="BA9"/>
  <c r="AZ9"/>
  <c r="AU9"/>
  <c r="AT9"/>
  <c r="AQ9"/>
  <c r="AP9"/>
  <c r="AO9"/>
  <c r="AN9"/>
  <c r="AM9"/>
  <c r="AL9"/>
  <c r="AK9"/>
  <c r="AJ9"/>
  <c r="AG9"/>
  <c r="AF9"/>
  <c r="AE9"/>
  <c r="AD9"/>
  <c r="AC9"/>
  <c r="AB9"/>
  <c r="AA9"/>
  <c r="Z9"/>
  <c r="W9"/>
  <c r="V9"/>
  <c r="U9"/>
  <c r="T9"/>
  <c r="S9"/>
  <c r="R9"/>
  <c r="BA8"/>
  <c r="AZ8"/>
  <c r="AU8"/>
  <c r="AT8"/>
  <c r="AQ8"/>
  <c r="AP8"/>
  <c r="AO8"/>
  <c r="AN8"/>
  <c r="AM8"/>
  <c r="AL8"/>
  <c r="AK8"/>
  <c r="AJ8"/>
  <c r="AG8"/>
  <c r="AF8"/>
  <c r="AE8"/>
  <c r="AD8"/>
  <c r="AC8"/>
  <c r="AB8"/>
  <c r="AA8"/>
  <c r="Z8"/>
  <c r="W8"/>
  <c r="V8"/>
  <c r="U8"/>
  <c r="T8"/>
  <c r="S8"/>
  <c r="R8"/>
  <c r="BA7"/>
  <c r="AZ7"/>
  <c r="AU7"/>
  <c r="AT7"/>
  <c r="AQ7"/>
  <c r="AP7"/>
  <c r="AO7"/>
  <c r="AN7"/>
  <c r="AM7"/>
  <c r="AL7"/>
  <c r="AK7"/>
  <c r="AJ7"/>
  <c r="AG7"/>
  <c r="AF7"/>
  <c r="AE7"/>
  <c r="AD7"/>
  <c r="AC7"/>
  <c r="AB7"/>
  <c r="AA7"/>
  <c r="Z7"/>
  <c r="W7"/>
  <c r="V7"/>
  <c r="U7"/>
  <c r="T7"/>
  <c r="S7"/>
  <c r="R7"/>
  <c r="BA6"/>
  <c r="AZ6"/>
  <c r="AU6"/>
  <c r="AT6"/>
  <c r="AQ6"/>
  <c r="AP6"/>
  <c r="AO6"/>
  <c r="AN6"/>
  <c r="AM6"/>
  <c r="AL6"/>
  <c r="AK6"/>
  <c r="AJ6"/>
  <c r="AG6"/>
  <c r="AF6"/>
  <c r="AE6"/>
  <c r="AD6"/>
  <c r="AC6"/>
  <c r="AB6"/>
  <c r="AA6"/>
  <c r="Z6"/>
  <c r="W6"/>
  <c r="V6"/>
  <c r="U6"/>
  <c r="T6"/>
  <c r="S6"/>
  <c r="R6"/>
  <c r="BA5"/>
  <c r="AZ5"/>
  <c r="AU5"/>
  <c r="AT5"/>
  <c r="AQ5"/>
  <c r="AP5"/>
  <c r="AN5"/>
  <c r="AM5"/>
  <c r="AL5"/>
  <c r="AK5"/>
  <c r="AJ5"/>
  <c r="AG5"/>
  <c r="AD5"/>
  <c r="AC5"/>
  <c r="AB5"/>
  <c r="AA5"/>
  <c r="Z5"/>
  <c r="W5"/>
  <c r="V5"/>
  <c r="T5"/>
  <c r="S5"/>
  <c r="R5"/>
  <c r="BA4"/>
  <c r="AZ4"/>
  <c r="AU4"/>
  <c r="AT4"/>
  <c r="AQ4"/>
  <c r="AP4"/>
  <c r="AN4"/>
  <c r="AM4"/>
  <c r="AL4"/>
  <c r="AK4"/>
  <c r="AJ4"/>
  <c r="AG4"/>
  <c r="AD4"/>
  <c r="AC4"/>
  <c r="AB4"/>
  <c r="AA4"/>
  <c r="Z4"/>
  <c r="W4"/>
  <c r="V4"/>
  <c r="T4"/>
  <c r="S4"/>
  <c r="R4"/>
  <c r="BA3"/>
  <c r="AZ3"/>
  <c r="AU3"/>
  <c r="AT3"/>
  <c r="AQ3"/>
  <c r="AP3"/>
  <c r="AN3"/>
  <c r="AM3"/>
  <c r="AL3"/>
  <c r="AK3"/>
  <c r="AJ3"/>
  <c r="AG3"/>
  <c r="AD3"/>
  <c r="AC3"/>
  <c r="AB3"/>
  <c r="AA3"/>
  <c r="Z3"/>
  <c r="W3"/>
  <c r="V3"/>
  <c r="T3"/>
  <c r="S3"/>
  <c r="R3"/>
  <c r="AV7" i="7" l="1"/>
  <c r="AB3"/>
  <c r="AL4"/>
  <c r="AV5"/>
  <c r="AV3"/>
  <c r="AB5"/>
  <c r="AL6"/>
  <c r="AL3"/>
  <c r="AB4"/>
  <c r="AV4"/>
  <c r="AL5"/>
  <c r="AB6"/>
  <c r="AV6"/>
  <c r="AR3" i="6"/>
  <c r="AR4"/>
  <c r="AR5"/>
  <c r="X6"/>
  <c r="AH6"/>
  <c r="AR6"/>
  <c r="X7"/>
  <c r="AH7"/>
  <c r="AR7"/>
  <c r="X8"/>
  <c r="AH8"/>
  <c r="AR8"/>
  <c r="X9"/>
  <c r="AH9"/>
  <c r="AR9"/>
  <c r="X10"/>
  <c r="AH10"/>
  <c r="AR10"/>
  <c r="X11"/>
  <c r="AH11"/>
  <c r="AR11"/>
  <c r="X12"/>
  <c r="AH12"/>
  <c r="AR12"/>
  <c r="X13"/>
  <c r="AH13"/>
  <c r="AR13"/>
  <c r="X14"/>
  <c r="AH14"/>
  <c r="AR14"/>
  <c r="X15"/>
  <c r="AH15"/>
  <c r="AR15"/>
  <c r="AH16"/>
  <c r="X17"/>
  <c r="AR17"/>
  <c r="AH18"/>
  <c r="X23"/>
  <c r="AR23"/>
  <c r="AH24"/>
  <c r="X25"/>
  <c r="AR25"/>
  <c r="X26"/>
  <c r="AH26"/>
  <c r="AR26"/>
  <c r="X27"/>
  <c r="AH27"/>
  <c r="AR27"/>
  <c r="X28"/>
  <c r="AH28"/>
  <c r="AR28"/>
  <c r="X32"/>
  <c r="AH32"/>
  <c r="AR32"/>
  <c r="X33"/>
  <c r="AH33"/>
  <c r="AR33"/>
  <c r="X34"/>
  <c r="AR34"/>
  <c r="AH35"/>
  <c r="AH43"/>
  <c r="X44"/>
  <c r="AR44"/>
  <c r="X50"/>
  <c r="AH50"/>
  <c r="AR50"/>
  <c r="X51"/>
  <c r="AH51"/>
  <c r="AR51"/>
  <c r="X52"/>
  <c r="AR52"/>
  <c r="AH53"/>
  <c r="X57"/>
  <c r="AH57"/>
  <c r="AR57"/>
  <c r="X58"/>
  <c r="AH59"/>
  <c r="AR59"/>
  <c r="X3"/>
  <c r="AH3"/>
  <c r="X4"/>
  <c r="AH4"/>
  <c r="X5"/>
  <c r="AH5"/>
  <c r="X16"/>
  <c r="AR16"/>
  <c r="AH17"/>
  <c r="X18"/>
  <c r="AR18"/>
  <c r="X19"/>
  <c r="AH19"/>
  <c r="AR19"/>
  <c r="X20"/>
  <c r="AH20"/>
  <c r="AR20"/>
  <c r="X21"/>
  <c r="AH21"/>
  <c r="AR21"/>
  <c r="X22"/>
  <c r="AH22"/>
  <c r="AR22"/>
  <c r="AH23"/>
  <c r="X24"/>
  <c r="AR24"/>
  <c r="AH25"/>
  <c r="AH34"/>
  <c r="X35"/>
  <c r="AR35"/>
  <c r="X41"/>
  <c r="AH41"/>
  <c r="AR41"/>
  <c r="X42"/>
  <c r="AH42"/>
  <c r="AR42"/>
  <c r="X43"/>
  <c r="AR43"/>
  <c r="AH44"/>
  <c r="AH52"/>
  <c r="X53"/>
  <c r="AR53"/>
  <c r="AH58"/>
  <c r="AR58"/>
  <c r="X59"/>
</calcChain>
</file>

<file path=xl/sharedStrings.xml><?xml version="1.0" encoding="utf-8"?>
<sst xmlns="http://schemas.openxmlformats.org/spreadsheetml/2006/main" count="1894" uniqueCount="416">
  <si>
    <t>VLP</t>
  </si>
  <si>
    <t>EPA 83</t>
  </si>
  <si>
    <t>EPA 94 o EURO III</t>
  </si>
  <si>
    <t>Sin Norma</t>
  </si>
  <si>
    <t>EURO IV o TIER 1 CAL</t>
  </si>
  <si>
    <t>VLC</t>
  </si>
  <si>
    <t>EPA 83 o EPA 91</t>
  </si>
  <si>
    <t>VM</t>
  </si>
  <si>
    <t>CLIV</t>
  </si>
  <si>
    <t>EPA 91</t>
  </si>
  <si>
    <t>EPA 94</t>
  </si>
  <si>
    <t>EPA 91 o EURO I</t>
  </si>
  <si>
    <t>EPA 94 o EURO II</t>
  </si>
  <si>
    <t>EPA 98 o EURO III</t>
  </si>
  <si>
    <t>CMED</t>
  </si>
  <si>
    <t>CPES</t>
  </si>
  <si>
    <t>BUS</t>
  </si>
  <si>
    <t>EPA 98</t>
  </si>
  <si>
    <t>Tipo Combustible</t>
  </si>
  <si>
    <t>Gasolina</t>
  </si>
  <si>
    <t>Diesel</t>
  </si>
  <si>
    <t>GNC</t>
  </si>
  <si>
    <t>GLP</t>
  </si>
  <si>
    <t>Nomenclatura</t>
  </si>
  <si>
    <t>Norma</t>
  </si>
  <si>
    <t>CO</t>
  </si>
  <si>
    <t>HC</t>
  </si>
  <si>
    <t>Nox</t>
  </si>
  <si>
    <t>NOx</t>
  </si>
  <si>
    <t>Clase</t>
  </si>
  <si>
    <t>Clasif MODEM</t>
  </si>
  <si>
    <t>Clasif COPERT 4</t>
  </si>
  <si>
    <t>FE COPERT 4</t>
  </si>
  <si>
    <t>Comentario 1</t>
  </si>
  <si>
    <t>Comentario 2</t>
  </si>
  <si>
    <t>Comentario 3</t>
  </si>
  <si>
    <t>MP</t>
  </si>
  <si>
    <t>CC</t>
  </si>
  <si>
    <t>SO2</t>
  </si>
  <si>
    <t>CO2</t>
  </si>
  <si>
    <t>CH4</t>
  </si>
  <si>
    <t>N2O</t>
  </si>
  <si>
    <t>NH3</t>
  </si>
  <si>
    <t>COMENTARIO</t>
  </si>
  <si>
    <t>Eec</t>
  </si>
  <si>
    <t>Eom</t>
  </si>
  <si>
    <t>Liviano</t>
  </si>
  <si>
    <t>Vehículos particulares livianos sin convertidor catalítico. (sin normas de emisión)</t>
  </si>
  <si>
    <t>Gasoline passenger cars PRE ECE y ECE 15-00/01 (Conventional)</t>
  </si>
  <si>
    <t>E =281* V ^-0,63 (10-100 km/h)
E=0,112*V + 4,32 (100-130 km/h)</t>
  </si>
  <si>
    <t>E = 30,34 * V ^-0,693 (10-100 km/h)
E=1,247  (100-130 km/h)</t>
  </si>
  <si>
    <t>E = - 0,00004*V^2 + 0,0217*V + 1,360 (10-130 km/h)</t>
  </si>
  <si>
    <t>No Aplica</t>
  </si>
  <si>
    <t>E=681*V^-0,583 (10-60 km/h)
E=67 (60-80 km/h)
E=0,471*V + 29,286 (80-130 km/h)</t>
  </si>
  <si>
    <t>E=2*K*CC</t>
  </si>
  <si>
    <t>E=(44,011*(CC/(12,011+1,008*1,8)))-(Eco/28,011)-(Ecov/13,85)-(Eec/12,011)-(Eom/13,85) (Gasolina)</t>
  </si>
  <si>
    <t>U=131; R= 86; H=41</t>
  </si>
  <si>
    <t>E=(a*V+b)*Efbase</t>
  </si>
  <si>
    <t>OK FINAL</t>
  </si>
  <si>
    <t>NOX y Consumo Comb: 1.4 l &lt; CC &lt; 2.0 l El FE depende de la Velocidad para los 4 criterios, en CC = 60 km/h, es una constante</t>
  </si>
  <si>
    <t>CH4 No depende de la velocidad, (U, R y H), solo considere Hot</t>
  </si>
  <si>
    <t>N2O Y NH3 Dependen de U, R y H, Use menor ppm de cada categoría</t>
  </si>
  <si>
    <t>Velocidad</t>
  </si>
  <si>
    <t>E = 1,173 + 0,0225*V - 0,00014*V^2 (10-130 km/h)</t>
  </si>
  <si>
    <t>E=521*V^-0,554 (10-60 km/h)
E=55 (60-80 km/h)
E=0,386*V + 24,143 (80-130 km/h)</t>
  </si>
  <si>
    <t>NOX y Consumo Comb: CC&lt; 1.4 l El FE depende de la Velocidad para los 4 criterios, en CC = 60 km/h, es una constante</t>
  </si>
  <si>
    <t>E =1,5 + 0,03*V + 0,0001*V^2 (10-130 km/h)</t>
  </si>
  <si>
    <t>E=979*V^-0,628 (10-60 km/h)
E=80 (60-80 km/h)
E=0,414*V + 46,867 (80-130 km/h)</t>
  </si>
  <si>
    <t>NOX y Consumo Comb: CC&gt; 2.0 l El FE depende de la Velocidad para los 4 criterios, en CC = 60 km/h, es una constante</t>
  </si>
  <si>
    <t>Vehículos particulares livianos con convertidor catalítico Tipo I.</t>
  </si>
  <si>
    <t>Gasoline passenger cars EURO I</t>
  </si>
  <si>
    <t>E = (a + c * V + e * V^2)/(1 + b * V + d * V^2)</t>
  </si>
  <si>
    <t>E = (a + c* V + e* V^2)/(1 + b* V + d* V^2)</t>
  </si>
  <si>
    <t>U=3,22E-03; R=1,84E-03; H= 1,90E-03</t>
  </si>
  <si>
    <t>E=(a+c*V+e*V^2)/(1+b*V+d*V^2)</t>
  </si>
  <si>
    <t>U=26; R= 16; H=14</t>
  </si>
  <si>
    <t>Existe FE para MP, Pero no depende de la velocidad (U, R y H), en Consumo Comb 1,4 - 2</t>
  </si>
  <si>
    <t>Existe FE para MP, Pero no depende de la velocidad (U, R y H) en Consumo Comb &lt; 1,4</t>
  </si>
  <si>
    <t>Existe FE para MP, Pero no depende de la velocidad (U, R y H) en Consumo Comb &gt; 2</t>
  </si>
  <si>
    <t xml:space="preserve">Vehículos particulares livianos con convertidor catalítico Tipo II. </t>
  </si>
  <si>
    <t>Gasoline passenger cars EURO III</t>
  </si>
  <si>
    <t>U=1,28E-03; R=8,36E-04; H= 1,19E-03</t>
  </si>
  <si>
    <t>U=3; R= 2; H=4</t>
  </si>
  <si>
    <t>Existe FE para MP, Pero no depende de la velocidad (U, R y H)</t>
  </si>
  <si>
    <t xml:space="preserve">Vehículos particulares livianos particulares Diesel. (sin norma de emisión) </t>
  </si>
  <si>
    <t>Diesel passenger cars Convencional &lt; 2,5 Ton</t>
  </si>
  <si>
    <t>E= 5,41301* V^-0,574 (10-130 km/h)</t>
  </si>
  <si>
    <t>E= 4,61 * V^-0,937 (10-130 km/h)</t>
  </si>
  <si>
    <t>E= 0,918- 0,014* V + 0,000101* V^2 (10-130 km/h)</t>
  </si>
  <si>
    <t>E= 0,45- 0,0086* V + 0,000058* V^2 (10-130 km/h)</t>
  </si>
  <si>
    <t>E=118,489 - 2,084*V + 0,014*V^2 (10-130 km/h)</t>
  </si>
  <si>
    <t>E=(44,011*(CC/(12,011+1,008*2)))-(Eco/28,011)-(Ecov/13,85)-(Eec/12,011)-(Eom/13,85) (Diesel)</t>
  </si>
  <si>
    <t>U=28; R=12; H=8</t>
  </si>
  <si>
    <t>U=0; R=0;H=0</t>
  </si>
  <si>
    <t>U=1; R=1;H=1</t>
  </si>
  <si>
    <t>Para NOX CC &lt; 2.0l</t>
  </si>
  <si>
    <t>N2O Y NH3 NO Dependen de la velocidad, U, R y H, sin distinción de Euro</t>
  </si>
  <si>
    <t xml:space="preserve">Vehículos particulares livianos Diesel Tipo I. </t>
  </si>
  <si>
    <t>Diesel passenger cars EURO I</t>
  </si>
  <si>
    <t>E = (a + c * V + e * V^2)/(1 + b * V + d * V^2) + f/V</t>
  </si>
  <si>
    <t>E = (a + c* V + e* V^2)/(1 + b* V + d* V^2) + f/V</t>
  </si>
  <si>
    <t>U=11; R=9; H=3</t>
  </si>
  <si>
    <t>U=2; R=4;H=4</t>
  </si>
  <si>
    <t>HC y CC, Capacidad &lt; 2 l</t>
  </si>
  <si>
    <t xml:space="preserve">Vehículos particulares livianos Diesel Tipo II. </t>
  </si>
  <si>
    <t>Diesel passenger cars EURO III</t>
  </si>
  <si>
    <t>U=3; R=0; H=0</t>
  </si>
  <si>
    <t>U=9; R=4;H=4</t>
  </si>
  <si>
    <t xml:space="preserve">Vehículos particulares livianos Diesel Tipo III. </t>
  </si>
  <si>
    <t>Diesel passenger cars EURO IV</t>
  </si>
  <si>
    <t>E= 17,5E-03+86,42*(1+e^((V+117,67)/-21,99)^-1)</t>
  </si>
  <si>
    <t>U=0; R=0; H=0</t>
  </si>
  <si>
    <t>Vehículos livianos comerciales sin convertidor catalítico (sin normas de emisión)</t>
  </si>
  <si>
    <t>Gasoline light-duty vehicles &lt;3.5 t - Convencional</t>
  </si>
  <si>
    <t>E = 57,789 + -1,5132 * V + 0,01104 * V^2</t>
  </si>
  <si>
    <t>E = 5,4734 + -0,117 * V + 67,7E-05 * V^2</t>
  </si>
  <si>
    <t>E = 1,9547 + 0,0179 * V</t>
  </si>
  <si>
    <t>E=0,0167*V^2 - 2,649*V + 161,51</t>
  </si>
  <si>
    <t>Sin Comentario</t>
  </si>
  <si>
    <t>N2O y NH3 depende de U, R y H, use ppm de menor valor</t>
  </si>
  <si>
    <t xml:space="preserve">Vehículos livianos comerciales con convertidor catalítico, Tipo I </t>
  </si>
  <si>
    <t>Gasoline light-duty vehicles &lt;3.5 t - EURO I</t>
  </si>
  <si>
    <t>E = 19,127 + -0,5215 * V + 0,0037 * V^2</t>
  </si>
  <si>
    <t>E = 0,5462 + -0,01047 * V + 5,77E-05 * V^2</t>
  </si>
  <si>
    <t>E = 0,666 + -0,009 * V + 7,55E-05 * V^2</t>
  </si>
  <si>
    <t>E=0,0195*V^2 - 3,09*V + 188,85</t>
  </si>
  <si>
    <t>Vehículos livianos comerciales con convertidor catalítico, Tipo II</t>
  </si>
  <si>
    <t>Gasoline light-duty vehicles &lt;3.5 t - EURO III</t>
  </si>
  <si>
    <t>E = (19,127 + -0,5215 * V + 0,0037 * V^2) * (1- 0,48)</t>
  </si>
  <si>
    <t>E = (0,5462 + -0,01047 * V + 5,77E-05 * V^2) * (1-0,86)</t>
  </si>
  <si>
    <t>E = (0,666 + -0,009 * V + 7,55E-05 * V^2) * (1-0,79)</t>
  </si>
  <si>
    <t>No hay Factor de reducción para CC respecto Euro 1</t>
  </si>
  <si>
    <t>diesel light duty vehicles &lt;3,5 t (Conventional)</t>
  </si>
  <si>
    <t>E= 20E-05* V^2 - 0,0256* V + 1,8281</t>
  </si>
  <si>
    <t>E= 1,75E-05* V^2 - 0,00284* V + 0,2162</t>
  </si>
  <si>
    <t>E= 81,6E-05* V^2 - 0,1189* V + 5,1234</t>
  </si>
  <si>
    <t>E= 1,25E-05* V^2 - 0,000577* V + 0,288</t>
  </si>
  <si>
    <t>E=0,02113*V^2 - 2,65*V + 148,91</t>
  </si>
  <si>
    <t>Vehículos livianos comerciales diesel, Tipo I</t>
  </si>
  <si>
    <t>Diesel light-duty vehicles &lt;3.5 t - EURO I</t>
  </si>
  <si>
    <t>E = 1,076 + - 0,026 * V + 22,3E-05 * V^2</t>
  </si>
  <si>
    <t>E = 0,2162 + - 0,00284 * V +1,75E-05 * V^2</t>
  </si>
  <si>
    <t>E = 2,0247 + - 0,03181 * V +24,1E-05 * V^2</t>
  </si>
  <si>
    <t>E = 0,1932 + - 0,004885 * V + 4,5E-05 * V^2</t>
  </si>
  <si>
    <t>E=0,0198*V^2 - 2,506*V + 137,42</t>
  </si>
  <si>
    <t>Vehículos livianos comerciales diesel, Tipo II</t>
  </si>
  <si>
    <t>Diesel light-duty vehicles &lt;3.5 t - EURO III</t>
  </si>
  <si>
    <t>E = (1,076 + - 0,026 * V + 22,3E-05 * V^2) * (1- 0,18)</t>
  </si>
  <si>
    <t>E = (0,2162 + - 0,00284* V +1,75E-05* V^2)* (1- 0,38)</t>
  </si>
  <si>
    <t>E = (2,0247 + - 0,03181 * V +24,1E-05 * V^2) * (1-0,16 )</t>
  </si>
  <si>
    <t>E = (0,1932 + - 0,004885 * V + 4,5E-05 * V^2) * (1-0,33)</t>
  </si>
  <si>
    <t>Vehículos livianos comerciales diesel, Tipo III</t>
  </si>
  <si>
    <t>Diesel light-duty vehicles &lt;3.5 t - EURO IV</t>
  </si>
  <si>
    <t>E = (1,076 + - 0,026 * V + 22,3E-05 * V^2) * (1- 0,35)</t>
  </si>
  <si>
    <t>E = (0,2162 + - 0,00284* V +1,75E-05* V^2)* (1- 0,77)</t>
  </si>
  <si>
    <t>E = (2,0247 + - 0,03181 * V +24,1E-05 * V^2) * (1-0,32 )</t>
  </si>
  <si>
    <t>E = (0,1932 + - 0,004885 * V + 4,5E-05 * V^2) * (1-0,65)</t>
  </si>
  <si>
    <t>Mediano</t>
  </si>
  <si>
    <t xml:space="preserve">Vehículos livianos comerciales diesel, Tipo I </t>
  </si>
  <si>
    <t>Pesado</t>
  </si>
  <si>
    <t>Camiones Livianos  Otros &lt; 7,5 ton (Gasolina)</t>
  </si>
  <si>
    <t>gasoline heavy duty vehicles &gt;3,5 t</t>
  </si>
  <si>
    <t>U=70; R=55; H=55</t>
  </si>
  <si>
    <t>U=7,0; R=5,5; H=3,5</t>
  </si>
  <si>
    <t>U=4,5; R=7,5; H=7,5</t>
  </si>
  <si>
    <t>U=225; R=150; H=165</t>
  </si>
  <si>
    <t>U=140; R=110; H=70</t>
  </si>
  <si>
    <t>U=6; R=6; H=6</t>
  </si>
  <si>
    <t>U=2; R=2; H=2</t>
  </si>
  <si>
    <t>No depende de la Velocidad, dado por U, R o H</t>
  </si>
  <si>
    <t>N2O y NH3 no depende de la velocidad U, R y H, no distingue entre Euro</t>
  </si>
  <si>
    <t>Camiones  livianos Convencionales &lt;7.5 t (sin normas de emisión)</t>
  </si>
  <si>
    <t>Diesel heavy-duty vehicles and buses--RT &lt;=7.5t 80ties</t>
  </si>
  <si>
    <t>E=(a+(b/(1+EXP((((-1)*c)+(d*ln(V)))+(e*V)))))</t>
  </si>
  <si>
    <t>E=(1/(((c*(V^2))+(b*V))+a))</t>
  </si>
  <si>
    <t>E=((a+(b*V))+(((c-b)*(1-EXP(((-1)*d)*V)))/d))</t>
  </si>
  <si>
    <t>E=((e+(a*EXP(((-1)*b)*V)))+(c*EXP(((-1)*d)*V)))</t>
  </si>
  <si>
    <t>E=(1/(((c*(x^2))+(b*x))+a))</t>
  </si>
  <si>
    <t>U=85; R=23; H=20</t>
  </si>
  <si>
    <t>U=3; R=3; H=3</t>
  </si>
  <si>
    <t>G=0% Y L=50%, &lt;=7,5 Ton</t>
  </si>
  <si>
    <t>N2O, Para &lt; 7,5, Sin Clasificar, NH3 No depende de la velocidad (U, R y H)</t>
  </si>
  <si>
    <t xml:space="preserve">Camiones livianos  Tipo I &lt; 7.5 ton </t>
  </si>
  <si>
    <t>Diesel heavy-duty vehicles and buses--RT &lt;=7.5t Euro-1</t>
  </si>
  <si>
    <t>E=((a*(V^b))+(c*(V^d)))</t>
  </si>
  <si>
    <t xml:space="preserve">Camiones livianos Tipo II &lt; 7.5 ton </t>
  </si>
  <si>
    <t>Diesel heavy-duty vehicles and buses--RT &lt;=7.5t Euro-2</t>
  </si>
  <si>
    <t>U=85*(1-36%); R=23*(1-13%); H=20*(1-7%)</t>
  </si>
  <si>
    <t xml:space="preserve">Camiones livianos Tipo III &lt; 7.5 ton </t>
  </si>
  <si>
    <t>Diesel heavy-duty vehicles and buses--RT &lt;=7.5t Euro-3</t>
  </si>
  <si>
    <t>E=EXP((a+(b/V))+(c*ln(V)))</t>
  </si>
  <si>
    <t>U=85*(1-44%); R=23*(1-7%); H=20*(1-9%)</t>
  </si>
  <si>
    <t xml:space="preserve">Camiones livianos a Gas &lt; 7.5 ton </t>
  </si>
  <si>
    <t>Sin Clasificación</t>
  </si>
  <si>
    <t>Camiones Medianos  Otros &lt; 7,5 - 16 ton (Gasolina)</t>
  </si>
  <si>
    <t>Camiones  Medianos Convencionales &lt;7,5 - 16 t (sin normas de emisión)</t>
  </si>
  <si>
    <t>Diesel heavy-duty vehicles and buses--RT &lt;=12 a 14t 80ties</t>
  </si>
  <si>
    <t>U=30; R=30; H=30</t>
  </si>
  <si>
    <t>G=0% Y L=50%, &lt;=12 - 14 Ton</t>
  </si>
  <si>
    <t>N2O, Rigid and Articulated 12 – 28 t y NH3 no depende de la velocidad U, R y H</t>
  </si>
  <si>
    <t xml:space="preserve">Camiones Medianos  Tipo I &lt; 7,5 - 16 ton </t>
  </si>
  <si>
    <t>Diesel heavy-duty vehicles and buses--RT &lt;=12 a 14t Euro-1</t>
  </si>
  <si>
    <t>U=11; R=9; H=7</t>
  </si>
  <si>
    <t xml:space="preserve">Camiones Medianos Tipo II &lt; 7,5 - 16 ton </t>
  </si>
  <si>
    <t>Diesel heavy-duty vehicles and buses--RT &lt;=12 a 14t Euro-2</t>
  </si>
  <si>
    <t>U=11; R=9; H=6</t>
  </si>
  <si>
    <t xml:space="preserve">Camiones Medianos Tipo III &lt; 7,5 - 16 ton </t>
  </si>
  <si>
    <t>Diesel heavy-duty vehicles and buses--RT &lt;=12 a 14t Euro-3</t>
  </si>
  <si>
    <t>U=5; R=5; H=4</t>
  </si>
  <si>
    <t xml:space="preserve">Camiones Medianos a Gas &lt; 7,5 - 16 ton </t>
  </si>
  <si>
    <t>Camiones Pesados  Otros &gt; 16 ton (Gasolina)</t>
  </si>
  <si>
    <t>Camiones  Pesados Convencionales &gt; 16 t (sin normas de emisión)</t>
  </si>
  <si>
    <t>Diesel heavy-duty vehicles and buses--RT &lt;=26 a 28t 80ties</t>
  </si>
  <si>
    <t>U=175; R=80; H=70</t>
  </si>
  <si>
    <t>G=0% Y L=50%, &lt;=26 - 28 Ton</t>
  </si>
  <si>
    <t xml:space="preserve">Camiones Pesados  Tipo I &gt; 16 ton </t>
  </si>
  <si>
    <t>Diesel heavy-duty vehicles and buses--RT &lt;=26 a 28t Euro-1</t>
  </si>
  <si>
    <t xml:space="preserve">Camiones Pesados Tipo II &gt; 16 ton </t>
  </si>
  <si>
    <t>Diesel heavy-duty vehicles and buses--RT &lt;=26 a 28t Euro-2</t>
  </si>
  <si>
    <t>U=175*(1-36%); R=80*(1-13%); H=70*(1-7%)</t>
  </si>
  <si>
    <t xml:space="preserve">Camiones Pesados Tipo III &gt; 16 ton </t>
  </si>
  <si>
    <t>Diesel heavy-duty vehicles and buses--RT &lt;=26 a 28t Euro-3</t>
  </si>
  <si>
    <t>U=175*(1-44%); R=80*(1-7%); H=70*(1-9%)</t>
  </si>
  <si>
    <t>U=140</t>
  </si>
  <si>
    <t>U=6</t>
  </si>
  <si>
    <t>U=3</t>
  </si>
  <si>
    <t>CH4 No depende de la velocidad,solo Urbano, solo considere Hot</t>
  </si>
  <si>
    <t>N2O Y NH3 NO Dependen de la velocidad, solo Urbano</t>
  </si>
  <si>
    <t>Buses Rurales Diesel Tipo I</t>
  </si>
  <si>
    <t>Ubus Std &gt;15-18t Euro-1 /Ubus Artic &gt;18t Euro-1</t>
  </si>
  <si>
    <t>E=(1/(a+(b*V)))</t>
  </si>
  <si>
    <t>y=((e+(a*EXP(((-1)*b)*V)))+(c*EXP(((-1)*d)*V)))</t>
  </si>
  <si>
    <t>y=((a+(b*V))+(((c-b)*(1-EXP(((-1)*d)*V)))/d))</t>
  </si>
  <si>
    <t>y=(1/(((c*(V^2))+(b*V))+a))</t>
  </si>
  <si>
    <t>E=((e+(a*EXP(((-1)*b)*V)))+(c*EXP(((-1)*d)*V))) (Std)
E=(c+(a*EXP(b*V))) (Art)</t>
  </si>
  <si>
    <t>U=175</t>
  </si>
  <si>
    <t>U=12</t>
  </si>
  <si>
    <t>G=0% Y L=50%,Depende de Std o Art</t>
  </si>
  <si>
    <t>Buses Rurales Diesel Tipo II</t>
  </si>
  <si>
    <t>Ubus Std &gt;15-18t Euro-2 /Ubus Artic &gt;18t Euro-2</t>
  </si>
  <si>
    <t>y=(a+(b/(1+EXP((((-1)*c)+(d*ln(V)))+(e*V)))))</t>
  </si>
  <si>
    <t>y=(c+(a*EXP(b*V)))</t>
  </si>
  <si>
    <t>E=(c+(a*EXP(b*V)))</t>
  </si>
  <si>
    <t>U=175*(1-35%)</t>
  </si>
  <si>
    <t>Buses Rurales Diesel Tipo III</t>
  </si>
  <si>
    <t>Ubus Std &gt;15-18t Euro-3 /Ubus Artic &gt;18t Euro-3</t>
  </si>
  <si>
    <t>y=EXP((a+(b/V))+(c*ln(V))) (Std y Art)</t>
  </si>
  <si>
    <t>y=((e+(a*EXP(((-1)*b)*V)))+(c*EXP(((-1)*d)*V))) (Std y Art)</t>
  </si>
  <si>
    <t>y=(a+(b/(1+EXP((((-1)*c)+(d*ln(V)))+(e*V))))) (std)
y=((a+(b*V))+(((c-b)*(1-EXP(((-1)*d)*V)))/d)) (Art)</t>
  </si>
  <si>
    <t>y=((e+(a*EXP(((-1)*b)*V)))+(c*EXP(((-1)*d)*V))) (Std)
y=(c+(a*EXP(b*V))) (Art)</t>
  </si>
  <si>
    <t>U=175*(1-41%)</t>
  </si>
  <si>
    <t>Urban GNC Buses</t>
  </si>
  <si>
    <t>U= 455</t>
  </si>
  <si>
    <t>E=(44,011*(CC/(12,011+1,008*3,9)))-(Eco/28,011)-(Ecov/13,85)-(Epm/12,011) (GN)</t>
  </si>
  <si>
    <t>U= 1280</t>
  </si>
  <si>
    <t>No depende de la Velocidad, Solo Urbano</t>
  </si>
  <si>
    <t>N2O y NH3 sin clasificación</t>
  </si>
  <si>
    <t>livianos</t>
  </si>
  <si>
    <t>Sub-Categoría</t>
  </si>
  <si>
    <t>Contaminante</t>
  </si>
  <si>
    <t>Constantes</t>
  </si>
  <si>
    <t>a</t>
  </si>
  <si>
    <t>b</t>
  </si>
  <si>
    <t>c</t>
  </si>
  <si>
    <t>d</t>
  </si>
  <si>
    <t>e</t>
  </si>
  <si>
    <t>Camiones Livianos</t>
  </si>
  <si>
    <t>Convencional</t>
  </si>
  <si>
    <t>N/A</t>
  </si>
  <si>
    <t>Euro I</t>
  </si>
  <si>
    <t>Euro II</t>
  </si>
  <si>
    <t>Euro III</t>
  </si>
  <si>
    <t>medianos</t>
  </si>
  <si>
    <t>Camiones Medianos</t>
  </si>
  <si>
    <t>Pesados</t>
  </si>
  <si>
    <t>Camiones Pesados</t>
  </si>
  <si>
    <t>Buses Licitados</t>
  </si>
  <si>
    <t>Recomendación</t>
  </si>
  <si>
    <t>Pre-Transantiago</t>
  </si>
  <si>
    <t>Experimental Extrapolado</t>
  </si>
  <si>
    <t>Copert IV Ajustado</t>
  </si>
  <si>
    <t>Transantiago</t>
  </si>
  <si>
    <t>Rig.-Euro III</t>
  </si>
  <si>
    <t>Art.-Euro III</t>
  </si>
  <si>
    <t>Entre 1,4 y 2,0</t>
  </si>
  <si>
    <t>factores de consumo</t>
  </si>
  <si>
    <t>Categoría</t>
  </si>
  <si>
    <t>Livianos</t>
  </si>
  <si>
    <t>Pasajeros</t>
  </si>
  <si>
    <t>No Cataliticos</t>
  </si>
  <si>
    <t> N/A</t>
  </si>
  <si>
    <t>EuroII</t>
  </si>
  <si>
    <t>EuroIII</t>
  </si>
  <si>
    <t>Euro IV</t>
  </si>
  <si>
    <t>Comerciales</t>
  </si>
  <si>
    <t>Camiones</t>
  </si>
  <si>
    <t>Medianos</t>
  </si>
  <si>
    <t>Buses licitados VTT</t>
  </si>
  <si>
    <t>Transantaigo B7</t>
  </si>
  <si>
    <t>Tranantiago B9</t>
  </si>
  <si>
    <t>Diesel III ART</t>
  </si>
  <si>
    <t>Gasoline passenger cars</t>
  </si>
  <si>
    <t>Euro 1</t>
  </si>
  <si>
    <t>Euro 3</t>
  </si>
  <si>
    <t>Diesel passenger cars</t>
  </si>
  <si>
    <t>f</t>
  </si>
  <si>
    <t>Euro 4</t>
  </si>
  <si>
    <t>FALTA</t>
  </si>
  <si>
    <t>Subsegment</t>
  </si>
  <si>
    <t>Pollutant</t>
  </si>
  <si>
    <t>Formula (y: g/km; x: km/h)</t>
  </si>
  <si>
    <t>Min x (km/h)</t>
  </si>
  <si>
    <t>Max x (km/h)</t>
  </si>
  <si>
    <t>Ubus Std &gt;15-18t Euro-1</t>
  </si>
  <si>
    <t>y=(1/(a+(b*V)))</t>
  </si>
  <si>
    <t xml:space="preserve"> </t>
  </si>
  <si>
    <t>THC</t>
  </si>
  <si>
    <t>y=((e+(a*eVp(((-1)*b)*V)))+(c*eVp(((-1)*d)*V)))</t>
  </si>
  <si>
    <t>y=((a+(b*V))+(((c-b)*(1-eVp(((-1)*d)*V)))/d))</t>
  </si>
  <si>
    <t>PM</t>
  </si>
  <si>
    <t>Ubus Std &gt;15-18t Euro-2</t>
  </si>
  <si>
    <t>y=(a+(b/(1+eVp((((-1)*c)+(d*ln(V)))+(e*V)))))</t>
  </si>
  <si>
    <t>y=(c+(a*eVp(b*V)))</t>
  </si>
  <si>
    <t>Ubus Std &gt;15-18t Euro-3</t>
  </si>
  <si>
    <t>y=eVp((a+(b/V))+(c*ln(V)))</t>
  </si>
  <si>
    <t>Ubus Artic &gt;18t Euro-1</t>
  </si>
  <si>
    <t>#N/A</t>
  </si>
  <si>
    <t>Ubus Artic &gt;18t Euro-2</t>
  </si>
  <si>
    <t>Ubus Artic &gt;18t Euro-3</t>
  </si>
  <si>
    <t>Ubus Std &gt;15-18t 80ties</t>
  </si>
  <si>
    <t>FC</t>
  </si>
  <si>
    <t>Ubus Std &gt;15-18t Euro-4</t>
  </si>
  <si>
    <t>Ubus Std &gt;15-18t Euro-5</t>
  </si>
  <si>
    <t>Ubus Artic &gt;18t 80ties</t>
  </si>
  <si>
    <t>Ubus Artic &gt;18t Euro-4</t>
  </si>
  <si>
    <t>Ubus Artic &gt;18t Euro-5</t>
  </si>
  <si>
    <t>RT &lt;=7.5t 80ties</t>
  </si>
  <si>
    <t>RT &lt;=7.5t Euro-1</t>
  </si>
  <si>
    <t>RT &lt;=7.5t Euro-2</t>
  </si>
  <si>
    <t>RT &lt;=7.5t Euro-3</t>
  </si>
  <si>
    <t>RT &lt;=7.5t Euro-4</t>
  </si>
  <si>
    <t>RT &lt;=7.5t Euro-5</t>
  </si>
  <si>
    <t>RT &gt;12-14t 80ties</t>
  </si>
  <si>
    <t>RT &gt;12-14t Euro-1</t>
  </si>
  <si>
    <t>RT &gt;12-14t Euro-2</t>
  </si>
  <si>
    <t>RT &gt;12-14t Euro-3</t>
  </si>
  <si>
    <t>RT &gt;12-14t Euro-4</t>
  </si>
  <si>
    <t>RT &gt;12-14t Euro-5</t>
  </si>
  <si>
    <t>RT &gt;26-28t 80ties</t>
  </si>
  <si>
    <t>RT &gt;26-28t Euro-1</t>
  </si>
  <si>
    <t>RT &gt;26-28t Euro-2</t>
  </si>
  <si>
    <t>RT &gt;26-28t Euro-3</t>
  </si>
  <si>
    <t>RT &gt;26-28t Euro-4</t>
  </si>
  <si>
    <t>RT &gt;26-28t Euro-5</t>
  </si>
  <si>
    <t>&lt;1,4 l</t>
  </si>
  <si>
    <t>&gt; 2,0  l</t>
  </si>
  <si>
    <t>Tipo Vehículo</t>
  </si>
  <si>
    <t>Nº Ruedas</t>
  </si>
  <si>
    <t>MOM Kg</t>
  </si>
  <si>
    <t>Vel. Max.km/hr</t>
  </si>
  <si>
    <t>Cil. c.c.</t>
  </si>
  <si>
    <t>Nº Tiempo</t>
  </si>
  <si>
    <t>Pot. Max Kw</t>
  </si>
  <si>
    <t>Tecnología</t>
  </si>
  <si>
    <t>Clasif COPERT 3</t>
  </si>
  <si>
    <t>Obs</t>
  </si>
  <si>
    <t>Motocicleta</t>
  </si>
  <si>
    <t>2,3,4</t>
  </si>
  <si>
    <t>£680</t>
  </si>
  <si>
    <t>&gt;45</t>
  </si>
  <si>
    <t>&gt;50</t>
  </si>
  <si>
    <t>Motocicletas 2 tiempos Convencional</t>
  </si>
  <si>
    <t>E= -0,00100 * V^2 + 0,1720 * V + 18,10 (10-60 km/h)
E= 0,00010 * V^2 + 0,0500 * V + 21,50 (60-110 km/h)</t>
  </si>
  <si>
    <t>E= 0,00350 * V^2 - 0,4090 * V + 20,10  (10-60 km/h)
E= 0,00030 * V^2 - 0,0524 * V + 10,60  (60-110 km/h)</t>
  </si>
  <si>
    <t>E= 0,00003 * V^2 - 0,0020 * V + 0,064  (10-60 km/h)
E= -0,00002 * V^2 + 0,0049 * V - 0,157  (60-110 km/h)</t>
  </si>
  <si>
    <t>E= 0,006300 *V^2 - 0,6028 *V + 44,40 (10-60 km/h)
E= -0,00050 *V^2 + 0,2375 *V + 18,20 (60-110 km/h)</t>
  </si>
  <si>
    <t>E=44,011*(CC/(12,011+(1,008*1,8))) (Gasolina)</t>
  </si>
  <si>
    <t>CH4 y N2O y NH3  No dependen de Velocidad</t>
  </si>
  <si>
    <t>Motocicletas 4 tiempos Convencional</t>
  </si>
  <si>
    <t>E=0,01390* V^2 - 1,4200* V + 55,00 (250&lt;cc&lt;750; 10-60 km/h)
E= 0,00090* V^2 - 0,0099* V + 17,80 (250&lt;cc&lt;750; 60-110 km/h)</t>
  </si>
  <si>
    <t>E= 0,00150* V^2 - 0,1640* V + 5,510 (250&lt;cc&lt;750; 10-60 km/h)
E= 0,00001* V^2 + 0,0005* V + 0,860 (250&lt;cc&lt;750; 60-110 km/h)</t>
  </si>
  <si>
    <t>E= 0,00005* V^2 - 0,0009* V + 0,092 (250&lt;cc&lt;750; 10-60 km/h)
E= 0,00002* V^2 + 0,0007* V + 0,104 (250&lt;cc&lt;750; 60-110 km/h)</t>
  </si>
  <si>
    <t>E= 0,02730*V^2 - 2,8490*V + 98,90 (250&lt;cc&lt;750; 10-60 km/h)
E= 0,00210*V^2 - 0,1550*V + 29,20 (250&lt;cc&lt;750; 60-110 km/h)</t>
  </si>
  <si>
    <t>Motocicleta, Cuatriciclo y Cuatriciclo Trans Mercancia</t>
  </si>
  <si>
    <t>2, 3 o 4</t>
  </si>
  <si>
    <t>£680, £550 o £400</t>
  </si>
  <si>
    <t>Para Cuatriciclo £15</t>
  </si>
  <si>
    <t>EURO 1</t>
  </si>
  <si>
    <t>Motocicletas 4 tiempos Tipo I</t>
  </si>
  <si>
    <t>£680, £400 o £550</t>
  </si>
  <si>
    <t>Motocicletas 2 tiempos Tipo I</t>
  </si>
  <si>
    <t>Motocicleta, Cuatriciclo y Cuatriciclo Ligero</t>
  </si>
  <si>
    <t>£680, &lt;350</t>
  </si>
  <si>
    <t>£45</t>
  </si>
  <si>
    <t>£50</t>
  </si>
  <si>
    <t>EURO 2</t>
  </si>
  <si>
    <t>Motorcycles &gt;50 cm³ - 2 stroke - Conventional</t>
  </si>
  <si>
    <t>E= 2,0E-01</t>
  </si>
  <si>
    <t>Motorcycles &gt;50 cm³ - 4 stroke - Conventional</t>
  </si>
  <si>
    <t>E= 2,0E-02</t>
  </si>
  <si>
    <t>Motorcycles &gt;50 cm³ - 4 stroke - EURO 1</t>
  </si>
  <si>
    <t xml:space="preserve">E = = 8,73E+00 + -4,02E-02 * V + 1,51E-03 * V^2 (10-110 km/h)
</t>
  </si>
  <si>
    <t xml:space="preserve">E = = 1,78E+00 + -2,58E-02 * V + 1,59E-04* V^2 (10-110 km/h)
</t>
  </si>
  <si>
    <t xml:space="preserve">E = = 1,91E-01+ 4,30E-04 * V + 5,23E-05 * V^2 (10-110 km/h)
</t>
  </si>
  <si>
    <t xml:space="preserve">E = = 4,65E+01 + -6,96E-01 * V + 6,44E-03 * V^2 (10-110 km/h)
</t>
  </si>
  <si>
    <t>250 - 750 cm3</t>
  </si>
  <si>
    <t>Motorcycles &gt;50 cm³ - 2 stroke- EURO 1</t>
  </si>
  <si>
    <t>E=-0,0063*V^2+0,715*V-6,9  (10-60 km/h)
E=0,0007*V^2 +0,157*V +6,0 (60-110 km/h)</t>
  </si>
  <si>
    <t>E =-0,00100*V^2+0,0970*V+3,90  (10-60 km/h)
E= -0,0003*V^2 + 0,0325*V + 5,2 (60-110 km/h)</t>
  </si>
  <si>
    <t>E = 0,00002*V^2-0,0010+V+0,032  (10-60 km/h)
E= -0,00002*V^2 +0,0041*V – 0,152 (60-110 km/h)</t>
  </si>
  <si>
    <t>E= 8,0E-02</t>
  </si>
  <si>
    <t>E =-0,0011*V^2 +0,2008*V+17,8 (10-60 km/h)
E= -0,001*V^2 +0,2425*V + 14,6 (60-110 km/h)</t>
  </si>
  <si>
    <t>Two-stroke mopeds &lt;50 cm³ - 2/4 stroke- EURO 2</t>
  </si>
  <si>
    <t>E= 3,76E-02</t>
  </si>
  <si>
    <t>E= 150*(1-89%) (Gasolina)</t>
  </si>
  <si>
    <t>Los criterio no dependen de la velocidad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</si>
</sst>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* #,##0.000_-;\-* #,##0.000_-;_-* &quot;-&quot;??_-;_-@_-"/>
    <numFmt numFmtId="166" formatCode="0.000"/>
    <numFmt numFmtId="167" formatCode="_-* #,##0.0000_-;\-* #,##0.0000_-;_-* &quot;-&quot;??_-;_-@_-"/>
    <numFmt numFmtId="168" formatCode="_-* #,##0_-;\-* #,##0_-;_-* &quot;-&quot;??_-;_-@_-"/>
    <numFmt numFmtId="169" formatCode="_-* #,##0.0_-;\-* #,##0.0_-;_-* &quot;-&quot;??_-;_-@_-"/>
    <numFmt numFmtId="170" formatCode="_-* #,##0.000000_-;\-* #,##0.000000_-;_-* &quot;-&quot;??_-;_-@_-"/>
    <numFmt numFmtId="171" formatCode="0.00000"/>
    <numFmt numFmtId="172" formatCode="0.000000"/>
    <numFmt numFmtId="173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8"/>
      <name val="Times New Roman"/>
      <family val="1"/>
    </font>
    <font>
      <sz val="8"/>
      <name val="Times New Roman"/>
      <family val="1"/>
    </font>
    <font>
      <sz val="8"/>
      <name val="Symbol"/>
      <family val="1"/>
      <charset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center" vertical="center" wrapText="1"/>
    </xf>
    <xf numFmtId="166" fontId="3" fillId="4" borderId="6" xfId="0" applyNumberFormat="1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vertical="center" wrapText="1"/>
    </xf>
    <xf numFmtId="166" fontId="3" fillId="5" borderId="8" xfId="0" applyNumberFormat="1" applyFont="1" applyFill="1" applyBorder="1" applyAlignment="1">
      <alignment horizontal="center" vertical="center" wrapText="1"/>
    </xf>
    <xf numFmtId="166" fontId="3" fillId="5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68" fontId="5" fillId="5" borderId="1" xfId="1" applyNumberFormat="1" applyFont="1" applyFill="1" applyBorder="1" applyAlignment="1">
      <alignment horizontal="center" vertical="center" wrapText="1"/>
    </xf>
    <xf numFmtId="168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9" fontId="5" fillId="3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1" applyNumberFormat="1" applyFont="1" applyFill="1" applyAlignment="1">
      <alignment horizontal="center" vertical="center" wrapText="1"/>
    </xf>
    <xf numFmtId="167" fontId="5" fillId="0" borderId="0" xfId="1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1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0" fontId="9" fillId="0" borderId="14" xfId="1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0" fontId="9" fillId="7" borderId="14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1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11" fillId="0" borderId="0" xfId="1" applyNumberFormat="1" applyFont="1" applyFill="1" applyAlignment="1">
      <alignment horizontal="center" vertical="center" wrapText="1"/>
    </xf>
    <xf numFmtId="166" fontId="0" fillId="0" borderId="0" xfId="1" applyNumberFormat="1" applyFont="1" applyFill="1" applyAlignment="1">
      <alignment horizontal="center" vertical="center" wrapText="1"/>
    </xf>
    <xf numFmtId="168" fontId="0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71" fontId="11" fillId="7" borderId="0" xfId="0" applyNumberFormat="1" applyFont="1" applyFill="1" applyAlignment="1">
      <alignment horizontal="center" vertical="center" wrapText="1"/>
    </xf>
    <xf numFmtId="166" fontId="11" fillId="7" borderId="0" xfId="0" applyNumberFormat="1" applyFont="1" applyFill="1" applyAlignment="1">
      <alignment horizontal="center" vertical="center" wrapText="1"/>
    </xf>
    <xf numFmtId="173" fontId="11" fillId="7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70" fontId="9" fillId="6" borderId="14" xfId="1" applyNumberFormat="1" applyFont="1" applyFill="1" applyBorder="1" applyAlignment="1">
      <alignment horizontal="center" vertical="center" wrapText="1"/>
    </xf>
    <xf numFmtId="11" fontId="2" fillId="0" borderId="0" xfId="0" applyNumberFormat="1" applyFont="1" applyFill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/>
    </xf>
    <xf numFmtId="2" fontId="3" fillId="3" borderId="5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7" xfId="1" applyNumberFormat="1" applyFont="1" applyFill="1" applyBorder="1" applyAlignment="1">
      <alignment horizontal="center" vertical="center" wrapText="1"/>
    </xf>
    <xf numFmtId="2" fontId="3" fillId="4" borderId="5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3" fillId="5" borderId="8" xfId="1" applyNumberFormat="1" applyFont="1" applyFill="1" applyBorder="1" applyAlignment="1">
      <alignment horizontal="center" vertical="center" wrapText="1"/>
    </xf>
    <xf numFmtId="2" fontId="3" fillId="5" borderId="9" xfId="1" applyNumberFormat="1" applyFont="1" applyFill="1" applyBorder="1" applyAlignment="1">
      <alignment horizontal="center" vertical="center" wrapText="1"/>
    </xf>
    <xf numFmtId="2" fontId="3" fillId="5" borderId="17" xfId="1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iosha/Configuraci&#243;n%20local/Archivos%20temporales%20de%20Internet/Content.Outlook/E49IGH91/Copia%20de%20FACTORES%20DE%20EMISION%20V_5%20euro2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S"/>
      <sheetName val="FE CONAMA 2005"/>
      <sheetName val="FE RM 2008"/>
      <sheetName val="FE COPERT 3"/>
      <sheetName val="FE COPERT 4"/>
      <sheetName val="ART Y STD (C4)"/>
      <sheetName val="ART Y STD ( RM 2008)"/>
      <sheetName val="DATOS SO2 Y CO2"/>
      <sheetName val="N2O Y NH3 (C4)"/>
      <sheetName val="FE CO"/>
      <sheetName val="FE HC"/>
      <sheetName val="FE NOX"/>
      <sheetName val="FE MP"/>
      <sheetName val="FE CC"/>
      <sheetName val="FE CH4"/>
      <sheetName val="FE N2O"/>
      <sheetName val="FE NH3"/>
      <sheetName val="FE CO2"/>
      <sheetName val="FE SO2"/>
    </sheetNames>
    <sheetDataSet>
      <sheetData sheetId="0"/>
      <sheetData sheetId="1"/>
      <sheetData sheetId="2"/>
      <sheetData sheetId="3"/>
      <sheetData sheetId="4">
        <row r="1">
          <cell r="S1">
            <v>20</v>
          </cell>
          <cell r="AC1">
            <v>60</v>
          </cell>
          <cell r="AM1">
            <v>100</v>
          </cell>
        </row>
        <row r="2">
          <cell r="S2" t="str">
            <v>CO</v>
          </cell>
          <cell r="AC2" t="str">
            <v>CO</v>
          </cell>
          <cell r="AM2" t="str">
            <v>CO</v>
          </cell>
        </row>
        <row r="3">
          <cell r="S3">
            <v>42.565468969226508</v>
          </cell>
          <cell r="W3">
            <v>118.7535563488953</v>
          </cell>
          <cell r="AC3">
            <v>21.304484599550651</v>
          </cell>
          <cell r="AG3">
            <v>67</v>
          </cell>
          <cell r="AM3">
            <v>15.442098555399244</v>
          </cell>
          <cell r="AQ3">
            <v>76.385999999999996</v>
          </cell>
        </row>
        <row r="4">
          <cell r="W4">
            <v>99.098505669336319</v>
          </cell>
          <cell r="AG4">
            <v>55</v>
          </cell>
          <cell r="AQ4">
            <v>62.743000000000002</v>
          </cell>
        </row>
        <row r="5">
          <cell r="W5">
            <v>149.18867420565951</v>
          </cell>
          <cell r="AG5">
            <v>80</v>
          </cell>
          <cell r="AQ5">
            <v>88.266999999999996</v>
          </cell>
        </row>
        <row r="6">
          <cell r="W6">
            <v>80.161943319838059</v>
          </cell>
          <cell r="AG6">
            <v>49.773509693785101</v>
          </cell>
          <cell r="AQ6">
            <v>51.453744493392065</v>
          </cell>
        </row>
        <row r="7">
          <cell r="W7">
            <v>65.15133098334752</v>
          </cell>
          <cell r="AG7">
            <v>42.560125138499643</v>
          </cell>
          <cell r="AQ7">
            <v>46.176911544227885</v>
          </cell>
        </row>
        <row r="8">
          <cell r="W8">
            <v>103.70564808110065</v>
          </cell>
          <cell r="AG8">
            <v>63.917491007194229</v>
          </cell>
          <cell r="AQ8">
            <v>64.867816091954012</v>
          </cell>
        </row>
        <row r="9">
          <cell r="W9">
            <v>82.104957115859875</v>
          </cell>
          <cell r="AG9">
            <v>50.896194035542678</v>
          </cell>
          <cell r="AQ9">
            <v>53.020344287949925</v>
          </cell>
        </row>
        <row r="10">
          <cell r="W10">
            <v>82.104957115859875</v>
          </cell>
          <cell r="AG10">
            <v>50.896194035542678</v>
          </cell>
          <cell r="AQ10">
            <v>53.020344287949925</v>
          </cell>
        </row>
        <row r="11">
          <cell r="W11">
            <v>82.104957115859875</v>
          </cell>
          <cell r="AG11">
            <v>50.896194035542678</v>
          </cell>
          <cell r="AQ11">
            <v>53.020344287949925</v>
          </cell>
        </row>
        <row r="12">
          <cell r="W12">
            <v>82.408999999999992</v>
          </cell>
          <cell r="AG12">
            <v>43.848999999999997</v>
          </cell>
          <cell r="AQ12">
            <v>50.088999999999999</v>
          </cell>
        </row>
        <row r="13">
          <cell r="W13">
            <v>65.351478010093729</v>
          </cell>
          <cell r="AG13">
            <v>43.064052555943341</v>
          </cell>
          <cell r="AQ13">
            <v>48.442982456140349</v>
          </cell>
        </row>
        <row r="14">
          <cell r="W14">
            <v>63.652527305054605</v>
          </cell>
          <cell r="AG14">
            <v>44.164399255334388</v>
          </cell>
          <cell r="AQ14">
            <v>45.487364620938621</v>
          </cell>
        </row>
        <row r="15">
          <cell r="W15">
            <v>63.652527305054605</v>
          </cell>
          <cell r="AG15">
            <v>44.164399255334388</v>
          </cell>
          <cell r="AQ15">
            <v>45.487364620938621</v>
          </cell>
        </row>
        <row r="16">
          <cell r="W16">
            <v>115.20999999999998</v>
          </cell>
          <cell r="AG16">
            <v>62.69</v>
          </cell>
          <cell r="AQ16">
            <v>63.610000000000014</v>
          </cell>
        </row>
        <row r="17">
          <cell r="W17">
            <v>134.85</v>
          </cell>
          <cell r="AG17">
            <v>73.65000000000002</v>
          </cell>
          <cell r="AQ17">
            <v>74.849999999999994</v>
          </cell>
        </row>
        <row r="18">
          <cell r="W18">
            <v>134.85</v>
          </cell>
          <cell r="AG18">
            <v>73.65000000000002</v>
          </cell>
          <cell r="AQ18">
            <v>74.849999999999994</v>
          </cell>
        </row>
        <row r="19">
          <cell r="W19">
            <v>104.36199999999999</v>
          </cell>
          <cell r="AG19">
            <v>65.977999999999994</v>
          </cell>
          <cell r="AQ19">
            <v>95.20999999999998</v>
          </cell>
        </row>
        <row r="20">
          <cell r="W20">
            <v>95.22</v>
          </cell>
          <cell r="AG20">
            <v>58.34</v>
          </cell>
          <cell r="AQ20">
            <v>84.82000000000005</v>
          </cell>
        </row>
        <row r="21">
          <cell r="W21">
            <v>95.22</v>
          </cell>
          <cell r="AG21">
            <v>58.34</v>
          </cell>
          <cell r="AQ21">
            <v>84.82000000000005</v>
          </cell>
        </row>
        <row r="22">
          <cell r="W22">
            <v>95.22</v>
          </cell>
          <cell r="AG22">
            <v>58.34</v>
          </cell>
          <cell r="AQ22">
            <v>84.82000000000005</v>
          </cell>
        </row>
        <row r="23">
          <cell r="W23">
            <v>115.20999999999998</v>
          </cell>
          <cell r="AG23">
            <v>62.69</v>
          </cell>
          <cell r="AQ23">
            <v>63.610000000000014</v>
          </cell>
        </row>
        <row r="24">
          <cell r="W24">
            <v>134.85</v>
          </cell>
          <cell r="AG24">
            <v>73.65000000000002</v>
          </cell>
          <cell r="AQ24">
            <v>74.849999999999994</v>
          </cell>
        </row>
        <row r="25">
          <cell r="W25">
            <v>134.85</v>
          </cell>
          <cell r="AG25">
            <v>73.65000000000002</v>
          </cell>
          <cell r="AQ25">
            <v>74.849999999999994</v>
          </cell>
        </row>
        <row r="26">
          <cell r="W26">
            <v>104.36199999999999</v>
          </cell>
          <cell r="AG26">
            <v>65.977999999999994</v>
          </cell>
          <cell r="AQ26">
            <v>95.20999999999998</v>
          </cell>
        </row>
        <row r="27">
          <cell r="W27">
            <v>95.22</v>
          </cell>
          <cell r="AG27">
            <v>58.34</v>
          </cell>
          <cell r="AQ27">
            <v>84.82000000000005</v>
          </cell>
        </row>
        <row r="28">
          <cell r="W28">
            <v>95.22</v>
          </cell>
          <cell r="AG28">
            <v>58.34</v>
          </cell>
          <cell r="AQ28">
            <v>84.82000000000005</v>
          </cell>
        </row>
        <row r="29">
          <cell r="W29">
            <v>225</v>
          </cell>
          <cell r="AG29">
            <v>150</v>
          </cell>
          <cell r="AQ29">
            <v>165</v>
          </cell>
        </row>
        <row r="30">
          <cell r="W30">
            <v>225</v>
          </cell>
          <cell r="AG30">
            <v>150</v>
          </cell>
          <cell r="AQ30">
            <v>165</v>
          </cell>
        </row>
        <row r="31">
          <cell r="W31">
            <v>225</v>
          </cell>
          <cell r="AG31">
            <v>150</v>
          </cell>
          <cell r="AQ31">
            <v>165</v>
          </cell>
        </row>
        <row r="32">
          <cell r="W32">
            <v>163.91830311772611</v>
          </cell>
          <cell r="AG32">
            <v>109.59384520965303</v>
          </cell>
          <cell r="AQ32">
            <v>164.7826516824309</v>
          </cell>
        </row>
        <row r="33">
          <cell r="W33">
            <v>125.51668140973931</v>
          </cell>
          <cell r="AG33">
            <v>94.977598605663644</v>
          </cell>
          <cell r="AQ33">
            <v>133.02610367639622</v>
          </cell>
        </row>
        <row r="34">
          <cell r="W34">
            <v>119.75471359725802</v>
          </cell>
          <cell r="AG34">
            <v>91.415223450995015</v>
          </cell>
          <cell r="AQ34">
            <v>137.4641006587062</v>
          </cell>
        </row>
        <row r="35">
          <cell r="W35">
            <v>124.85591602997491</v>
          </cell>
          <cell r="AG35">
            <v>96.394009688926076</v>
          </cell>
          <cell r="AQ35">
            <v>131.23501155520793</v>
          </cell>
        </row>
        <row r="38">
          <cell r="W38">
            <v>225</v>
          </cell>
          <cell r="AG38">
            <v>150</v>
          </cell>
          <cell r="AQ38">
            <v>165</v>
          </cell>
        </row>
        <row r="39">
          <cell r="W39">
            <v>225</v>
          </cell>
          <cell r="AG39">
            <v>150</v>
          </cell>
          <cell r="AQ39">
            <v>165</v>
          </cell>
        </row>
        <row r="40">
          <cell r="W40">
            <v>225</v>
          </cell>
          <cell r="AG40">
            <v>150</v>
          </cell>
          <cell r="AQ40">
            <v>165</v>
          </cell>
        </row>
        <row r="41">
          <cell r="W41">
            <v>278.82336539802031</v>
          </cell>
          <cell r="AG41">
            <v>164.19013217305638</v>
          </cell>
          <cell r="AQ41">
            <v>197.06375012316488</v>
          </cell>
        </row>
        <row r="42">
          <cell r="W42">
            <v>234.5160760770151</v>
          </cell>
          <cell r="AG42">
            <v>146.36788103218629</v>
          </cell>
          <cell r="AQ42">
            <v>190.83605274708506</v>
          </cell>
        </row>
        <row r="43">
          <cell r="W43">
            <v>221.20468069104342</v>
          </cell>
          <cell r="AG43">
            <v>140.67269683627103</v>
          </cell>
          <cell r="AQ43">
            <v>180.61300052377774</v>
          </cell>
        </row>
        <row r="44">
          <cell r="W44">
            <v>235.91025973719596</v>
          </cell>
          <cell r="AG44">
            <v>150.44607260527465</v>
          </cell>
          <cell r="AQ44">
            <v>204.29426545996859</v>
          </cell>
        </row>
        <row r="47">
          <cell r="W47">
            <v>225</v>
          </cell>
          <cell r="AG47">
            <v>150</v>
          </cell>
          <cell r="AQ47">
            <v>165</v>
          </cell>
        </row>
        <row r="48">
          <cell r="W48">
            <v>225</v>
          </cell>
          <cell r="AG48">
            <v>150</v>
          </cell>
          <cell r="AQ48">
            <v>165</v>
          </cell>
        </row>
        <row r="49">
          <cell r="W49">
            <v>225</v>
          </cell>
          <cell r="AG49">
            <v>150</v>
          </cell>
          <cell r="AQ49">
            <v>165</v>
          </cell>
        </row>
        <row r="50">
          <cell r="W50">
            <v>471.24096415833361</v>
          </cell>
          <cell r="AG50">
            <v>262.076580117601</v>
          </cell>
          <cell r="AQ50">
            <v>234.94432351212313</v>
          </cell>
        </row>
        <row r="51">
          <cell r="W51">
            <v>396.64000935474974</v>
          </cell>
          <cell r="AG51">
            <v>228.7886053041432</v>
          </cell>
          <cell r="AQ51">
            <v>205.54231627611642</v>
          </cell>
        </row>
        <row r="52">
          <cell r="W52">
            <v>376.19360391459355</v>
          </cell>
          <cell r="AG52">
            <v>222.86062717326968</v>
          </cell>
          <cell r="AQ52">
            <v>199.62578961951695</v>
          </cell>
        </row>
        <row r="53">
          <cell r="W53">
            <v>394.39186802517759</v>
          </cell>
          <cell r="AG53">
            <v>229.35305741985371</v>
          </cell>
          <cell r="AQ53">
            <v>203.78843584731536</v>
          </cell>
        </row>
        <row r="54">
          <cell r="W54">
            <v>225</v>
          </cell>
        </row>
        <row r="55">
          <cell r="W55">
            <v>225</v>
          </cell>
        </row>
        <row r="56">
          <cell r="W56">
            <v>225</v>
          </cell>
        </row>
        <row r="57">
          <cell r="W57">
            <v>357.64311866494592</v>
          </cell>
          <cell r="AG57">
            <v>200.33461767791158</v>
          </cell>
          <cell r="AQ57">
            <v>189.7760028146437</v>
          </cell>
        </row>
        <row r="58">
          <cell r="W58">
            <v>343.85115006297724</v>
          </cell>
          <cell r="AG58">
            <v>198.81572481510224</v>
          </cell>
          <cell r="AQ58">
            <v>190.43096124986747</v>
          </cell>
        </row>
        <row r="59">
          <cell r="W59">
            <v>358.83269455393224</v>
          </cell>
          <cell r="AG59">
            <v>205.44130044769716</v>
          </cell>
          <cell r="AQ59">
            <v>194.45788194930333</v>
          </cell>
        </row>
        <row r="60">
          <cell r="W60">
            <v>455</v>
          </cell>
          <cell r="AG60">
            <v>455</v>
          </cell>
          <cell r="AQ60">
            <v>455</v>
          </cell>
        </row>
      </sheetData>
      <sheetData sheetId="5"/>
      <sheetData sheetId="6"/>
      <sheetData sheetId="7">
        <row r="30">
          <cell r="B30">
            <v>3.0000000000000001E-5</v>
          </cell>
        </row>
        <row r="81">
          <cell r="D81">
            <v>0.02</v>
          </cell>
          <cell r="E81">
            <v>49</v>
          </cell>
        </row>
        <row r="82">
          <cell r="D82">
            <v>0.25</v>
          </cell>
          <cell r="E82">
            <v>2.5</v>
          </cell>
        </row>
        <row r="83">
          <cell r="D83">
            <v>0.15</v>
          </cell>
          <cell r="E83">
            <v>3</v>
          </cell>
        </row>
        <row r="84">
          <cell r="D84">
            <v>0.55000000000000004</v>
          </cell>
          <cell r="E84">
            <v>0.7</v>
          </cell>
        </row>
        <row r="85">
          <cell r="D85">
            <v>0.7</v>
          </cell>
          <cell r="E85">
            <v>0.4</v>
          </cell>
        </row>
        <row r="86">
          <cell r="D86">
            <v>0.85</v>
          </cell>
          <cell r="E86">
            <v>0.15</v>
          </cell>
        </row>
        <row r="87">
          <cell r="D87">
            <v>0.87</v>
          </cell>
          <cell r="E87">
            <v>0.13</v>
          </cell>
        </row>
        <row r="88">
          <cell r="D88">
            <v>0.5</v>
          </cell>
          <cell r="E88">
            <v>0.8</v>
          </cell>
        </row>
        <row r="89">
          <cell r="D89">
            <v>0.65</v>
          </cell>
          <cell r="E89">
            <v>0.4</v>
          </cell>
        </row>
        <row r="90">
          <cell r="D90">
            <v>0.65</v>
          </cell>
          <cell r="E90">
            <v>0.4</v>
          </cell>
        </row>
        <row r="91">
          <cell r="D91">
            <v>0.7</v>
          </cell>
          <cell r="E91">
            <v>0.3</v>
          </cell>
        </row>
        <row r="92">
          <cell r="D92">
            <v>0.1</v>
          </cell>
          <cell r="E92">
            <v>9</v>
          </cell>
        </row>
        <row r="93">
          <cell r="D93">
            <v>0.2</v>
          </cell>
          <cell r="E93">
            <v>4</v>
          </cell>
        </row>
        <row r="94">
          <cell r="D94">
            <v>0.2</v>
          </cell>
          <cell r="E94">
            <v>4</v>
          </cell>
        </row>
        <row r="95">
          <cell r="D95">
            <v>0.15</v>
          </cell>
          <cell r="E95">
            <v>5.6</v>
          </cell>
        </row>
        <row r="96">
          <cell r="D96">
            <v>0.25</v>
          </cell>
          <cell r="E96">
            <v>3</v>
          </cell>
        </row>
      </sheetData>
      <sheetData sheetId="8">
        <row r="28">
          <cell r="C28">
            <v>10</v>
          </cell>
          <cell r="D28">
            <v>0</v>
          </cell>
          <cell r="E28">
            <v>1</v>
          </cell>
        </row>
        <row r="29">
          <cell r="C29">
            <v>23.2</v>
          </cell>
          <cell r="D29">
            <v>8.8100000000000001E-7</v>
          </cell>
          <cell r="E29">
            <v>0.92</v>
          </cell>
        </row>
        <row r="33">
          <cell r="C33">
            <v>1.3</v>
          </cell>
          <cell r="D33">
            <v>1.8500000000000001E-6</v>
          </cell>
          <cell r="E33">
            <v>0.82899999999999996</v>
          </cell>
        </row>
        <row r="45">
          <cell r="C45">
            <v>6.5</v>
          </cell>
          <cell r="D45">
            <v>0</v>
          </cell>
          <cell r="E45">
            <v>1</v>
          </cell>
        </row>
        <row r="46">
          <cell r="C46">
            <v>9.1999999999999993</v>
          </cell>
          <cell r="D46">
            <v>1.31E-6</v>
          </cell>
          <cell r="E46">
            <v>0.85099999999999998</v>
          </cell>
        </row>
        <row r="47">
          <cell r="C47">
            <v>18.5</v>
          </cell>
          <cell r="D47">
            <v>2.9000000000000002E-6</v>
          </cell>
          <cell r="E47">
            <v>0.747</v>
          </cell>
        </row>
        <row r="48">
          <cell r="C48">
            <v>48.9</v>
          </cell>
          <cell r="D48">
            <v>1.3699999999999999E-5</v>
          </cell>
          <cell r="E48">
            <v>0.22700000000000001</v>
          </cell>
        </row>
        <row r="51">
          <cell r="C51">
            <v>0.3</v>
          </cell>
          <cell r="D51">
            <v>1.35E-6</v>
          </cell>
          <cell r="E51">
            <v>0.875</v>
          </cell>
        </row>
        <row r="52">
          <cell r="C52">
            <v>1.1000000000000001</v>
          </cell>
          <cell r="D52">
            <v>4.0999999999999997E-6</v>
          </cell>
          <cell r="E52">
            <v>0.53900000000000003</v>
          </cell>
        </row>
        <row r="53">
          <cell r="C53">
            <v>2.2000000000000002</v>
          </cell>
          <cell r="D53">
            <v>4.1999999999999996E-6</v>
          </cell>
          <cell r="E53">
            <v>0.68</v>
          </cell>
        </row>
        <row r="62">
          <cell r="C62">
            <v>6.5</v>
          </cell>
          <cell r="D62">
            <v>0</v>
          </cell>
          <cell r="E62">
            <v>1</v>
          </cell>
        </row>
        <row r="63">
          <cell r="C63">
            <v>4.7</v>
          </cell>
          <cell r="D63">
            <v>1.3E-6</v>
          </cell>
          <cell r="E63">
            <v>0.84599999999999997</v>
          </cell>
        </row>
        <row r="64">
          <cell r="C64">
            <v>9.4</v>
          </cell>
          <cell r="D64">
            <v>2.8700000000000001E-6</v>
          </cell>
          <cell r="E64">
            <v>0.73899999999999999</v>
          </cell>
        </row>
        <row r="65">
          <cell r="C65">
            <v>24.7</v>
          </cell>
          <cell r="D65">
            <v>1.33E-5</v>
          </cell>
          <cell r="E65">
            <v>0.219</v>
          </cell>
        </row>
        <row r="68">
          <cell r="C68">
            <v>0.19</v>
          </cell>
          <cell r="D68">
            <v>1.4899999999999999E-6</v>
          </cell>
          <cell r="E68">
            <v>0.96699999999999997</v>
          </cell>
        </row>
        <row r="69">
          <cell r="C69">
            <v>0.61</v>
          </cell>
          <cell r="D69">
            <v>6.3199999999999996E-6</v>
          </cell>
          <cell r="E69">
            <v>0.83199999999999996</v>
          </cell>
        </row>
        <row r="70">
          <cell r="C70">
            <v>1.3</v>
          </cell>
          <cell r="D70">
            <v>5.5600000000000001E-6</v>
          </cell>
          <cell r="E70">
            <v>0.9</v>
          </cell>
        </row>
        <row r="95">
          <cell r="C95">
            <v>10</v>
          </cell>
          <cell r="D95">
            <v>0</v>
          </cell>
          <cell r="E95">
            <v>1</v>
          </cell>
        </row>
        <row r="96">
          <cell r="C96">
            <v>41.5</v>
          </cell>
          <cell r="D96">
            <v>2.3300000000000001E-6</v>
          </cell>
          <cell r="E96">
            <v>0.53</v>
          </cell>
        </row>
        <row r="100">
          <cell r="C100">
            <v>7.4</v>
          </cell>
          <cell r="D100">
            <v>2.8100000000000002E-6</v>
          </cell>
          <cell r="E100">
            <v>0.64</v>
          </cell>
        </row>
        <row r="112">
          <cell r="C112">
            <v>6.5</v>
          </cell>
          <cell r="D112">
            <v>0</v>
          </cell>
          <cell r="E112">
            <v>1</v>
          </cell>
        </row>
        <row r="113">
          <cell r="C113">
            <v>18.5</v>
          </cell>
          <cell r="D113">
            <v>2.9000000000000002E-6</v>
          </cell>
          <cell r="E113">
            <v>0.747</v>
          </cell>
        </row>
        <row r="117">
          <cell r="C117">
            <v>1.4</v>
          </cell>
          <cell r="D117">
            <v>1.2699999999999999E-6</v>
          </cell>
          <cell r="E117">
            <v>0.83699999999999997</v>
          </cell>
        </row>
        <row r="129">
          <cell r="C129">
            <v>6.5</v>
          </cell>
          <cell r="D129">
            <v>0</v>
          </cell>
          <cell r="E129">
            <v>1</v>
          </cell>
        </row>
        <row r="130">
          <cell r="C130">
            <v>9.4</v>
          </cell>
          <cell r="D130">
            <v>2.8700000000000001E-6</v>
          </cell>
          <cell r="E130">
            <v>0.73899999999999999</v>
          </cell>
        </row>
        <row r="134">
          <cell r="C134">
            <v>1.4</v>
          </cell>
          <cell r="D134">
            <v>1.2699999999999999E-6</v>
          </cell>
          <cell r="E134">
            <v>0.83699999999999997</v>
          </cell>
        </row>
        <row r="227">
          <cell r="C227">
            <v>2</v>
          </cell>
          <cell r="D227">
            <v>0</v>
          </cell>
          <cell r="E227">
            <v>1</v>
          </cell>
        </row>
        <row r="228">
          <cell r="C228">
            <v>70</v>
          </cell>
          <cell r="D228">
            <v>0</v>
          </cell>
          <cell r="E228">
            <v>1</v>
          </cell>
        </row>
        <row r="229">
          <cell r="C229">
            <v>143</v>
          </cell>
          <cell r="D229">
            <v>1.4699999999999999E-6</v>
          </cell>
          <cell r="E229">
            <v>0.96399999999999997</v>
          </cell>
        </row>
        <row r="230">
          <cell r="C230">
            <v>1.9</v>
          </cell>
          <cell r="D230">
            <v>1.31E-6</v>
          </cell>
          <cell r="E230">
            <v>0.86199999999999999</v>
          </cell>
        </row>
        <row r="231">
          <cell r="C231">
            <v>1.6</v>
          </cell>
          <cell r="D231">
            <v>4.1799999999999998E-6</v>
          </cell>
          <cell r="E231">
            <v>0.52600000000000002</v>
          </cell>
        </row>
        <row r="232">
          <cell r="C232">
            <v>1.9</v>
          </cell>
          <cell r="D232">
            <v>1.31E-6</v>
          </cell>
          <cell r="E232">
            <v>0.86199999999999999</v>
          </cell>
        </row>
        <row r="240">
          <cell r="C240">
            <v>2</v>
          </cell>
          <cell r="D240">
            <v>0</v>
          </cell>
          <cell r="E240">
            <v>1</v>
          </cell>
        </row>
        <row r="241">
          <cell r="C241">
            <v>131</v>
          </cell>
          <cell r="D241">
            <v>5.9400000000000003E-8</v>
          </cell>
          <cell r="E241">
            <v>0.999</v>
          </cell>
        </row>
        <row r="242">
          <cell r="C242">
            <v>100</v>
          </cell>
          <cell r="D242">
            <v>8.9500000000000001E-7</v>
          </cell>
          <cell r="E242">
            <v>0.97799999999999998</v>
          </cell>
        </row>
        <row r="243">
          <cell r="C243">
            <v>148</v>
          </cell>
          <cell r="D243">
            <v>5.9499999999999997E-8</v>
          </cell>
          <cell r="E243">
            <v>0.999</v>
          </cell>
        </row>
        <row r="245">
          <cell r="C245">
            <v>29.5</v>
          </cell>
          <cell r="D245">
            <v>5.8999999999999999E-8</v>
          </cell>
          <cell r="E245">
            <v>0.99399999999999999</v>
          </cell>
        </row>
        <row r="246">
          <cell r="C246">
            <v>28.9</v>
          </cell>
          <cell r="D246">
            <v>8.3099999999999996E-7</v>
          </cell>
          <cell r="E246">
            <v>0.90800000000000003</v>
          </cell>
        </row>
        <row r="247">
          <cell r="C247">
            <v>29.5</v>
          </cell>
          <cell r="D247">
            <v>5.8999999999999999E-8</v>
          </cell>
          <cell r="E247">
            <v>0.99399999999999999</v>
          </cell>
        </row>
        <row r="255">
          <cell r="C255">
            <v>2</v>
          </cell>
          <cell r="D255">
            <v>0</v>
          </cell>
          <cell r="E255">
            <v>1</v>
          </cell>
        </row>
        <row r="256">
          <cell r="C256">
            <v>73.3</v>
          </cell>
          <cell r="D256">
            <v>5.9400000000000003E-8</v>
          </cell>
          <cell r="E256">
            <v>0.998</v>
          </cell>
        </row>
        <row r="257">
          <cell r="C257">
            <v>56.2</v>
          </cell>
          <cell r="D257">
            <v>8.8599999999999997E-7</v>
          </cell>
          <cell r="E257">
            <v>0.96799999999999997</v>
          </cell>
        </row>
        <row r="258">
          <cell r="C258">
            <v>83.3</v>
          </cell>
          <cell r="D258">
            <v>5.9400000000000003E-8</v>
          </cell>
          <cell r="E258">
            <v>0.999</v>
          </cell>
        </row>
        <row r="260">
          <cell r="C260">
            <v>64.599999999999994</v>
          </cell>
          <cell r="D260">
            <v>5.9499999999999997E-8</v>
          </cell>
          <cell r="E260">
            <v>0.999</v>
          </cell>
        </row>
        <row r="261">
          <cell r="C261">
            <v>63.4</v>
          </cell>
          <cell r="D261">
            <v>9.02E-7</v>
          </cell>
          <cell r="E261">
            <v>0.98499999999999999</v>
          </cell>
        </row>
        <row r="262">
          <cell r="C262">
            <v>64.599999999999994</v>
          </cell>
          <cell r="D262">
            <v>5.9499999999999997E-8</v>
          </cell>
          <cell r="E262">
            <v>0.999</v>
          </cell>
        </row>
        <row r="285">
          <cell r="C285">
            <v>2</v>
          </cell>
          <cell r="D285">
            <v>0</v>
          </cell>
          <cell r="E285">
            <v>1</v>
          </cell>
        </row>
        <row r="286">
          <cell r="C286">
            <v>70</v>
          </cell>
          <cell r="D286">
            <v>0</v>
          </cell>
          <cell r="E286">
            <v>1</v>
          </cell>
        </row>
        <row r="288">
          <cell r="C288">
            <v>1.9</v>
          </cell>
          <cell r="D288">
            <v>1.31E-6</v>
          </cell>
          <cell r="E288">
            <v>0.86199999999999999</v>
          </cell>
        </row>
        <row r="298">
          <cell r="C298">
            <v>2</v>
          </cell>
          <cell r="D298">
            <v>0</v>
          </cell>
          <cell r="E298">
            <v>1</v>
          </cell>
        </row>
        <row r="299">
          <cell r="C299">
            <v>131</v>
          </cell>
          <cell r="D299">
            <v>5.9400000000000003E-8</v>
          </cell>
          <cell r="E299">
            <v>0.999</v>
          </cell>
        </row>
        <row r="303">
          <cell r="C303">
            <v>29.5</v>
          </cell>
          <cell r="D303">
            <v>5.8999999999999999E-8</v>
          </cell>
          <cell r="E303">
            <v>0.99399999999999999</v>
          </cell>
        </row>
        <row r="313">
          <cell r="C313">
            <v>2</v>
          </cell>
          <cell r="D313">
            <v>0</v>
          </cell>
          <cell r="E313">
            <v>1</v>
          </cell>
        </row>
        <row r="314">
          <cell r="C314">
            <v>73.3</v>
          </cell>
          <cell r="D314">
            <v>5.9400000000000003E-8</v>
          </cell>
          <cell r="E314">
            <v>0.998</v>
          </cell>
        </row>
        <row r="318">
          <cell r="C318">
            <v>64.599999999999994</v>
          </cell>
          <cell r="D318">
            <v>5.9499999999999997E-8</v>
          </cell>
          <cell r="E318">
            <v>0.999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07"/>
  <sheetViews>
    <sheetView tabSelected="1" workbookViewId="0">
      <selection activeCell="C4" sqref="C4"/>
    </sheetView>
  </sheetViews>
  <sheetFormatPr baseColWidth="10" defaultRowHeight="15"/>
  <cols>
    <col min="1" max="1" width="19.42578125" style="4" bestFit="1" customWidth="1"/>
    <col min="2" max="2" width="23.28515625" style="4" bestFit="1" customWidth="1"/>
    <col min="3" max="3" width="35.5703125" style="4" bestFit="1" customWidth="1"/>
    <col min="4" max="4" width="42.42578125" style="4" customWidth="1"/>
    <col min="5" max="5" width="27.5703125" style="4" customWidth="1"/>
    <col min="6" max="6" width="18.28515625" style="4" customWidth="1"/>
    <col min="7" max="7" width="25.5703125" style="4" customWidth="1"/>
    <col min="8" max="8" width="26.5703125" style="4" customWidth="1"/>
    <col min="9" max="9" width="31.42578125" style="4" customWidth="1"/>
    <col min="10" max="10" width="26.5703125" style="4" customWidth="1"/>
    <col min="11" max="11" width="17.42578125" style="4" bestFit="1" customWidth="1"/>
    <col min="12" max="12" width="10.28515625" style="4" customWidth="1"/>
    <col min="13" max="13" width="19" style="4" customWidth="1"/>
    <col min="14" max="14" width="16" style="4" customWidth="1"/>
    <col min="15" max="16" width="13.5703125" style="4" customWidth="1"/>
    <col min="17" max="17" width="20.28515625" style="4" customWidth="1"/>
    <col min="18" max="18" width="9.140625" style="4" customWidth="1"/>
    <col min="19" max="19" width="9" style="4" customWidth="1"/>
    <col min="20" max="20" width="10.140625" style="4" customWidth="1"/>
    <col min="21" max="21" width="9.28515625" style="4" customWidth="1"/>
    <col min="22" max="22" width="9" style="4" customWidth="1"/>
    <col min="23" max="24" width="10.28515625" style="4" customWidth="1"/>
    <col min="25" max="25" width="10.140625" style="4" customWidth="1"/>
    <col min="26" max="26" width="10.28515625" style="4" customWidth="1"/>
    <col min="27" max="27" width="10.140625" style="4" customWidth="1"/>
    <col min="28" max="28" width="9.140625" style="43" customWidth="1"/>
    <col min="29" max="29" width="9" style="43" customWidth="1"/>
    <col min="30" max="30" width="10.140625" style="43" customWidth="1"/>
    <col min="31" max="31" width="9.28515625" style="43" customWidth="1"/>
    <col min="32" max="32" width="9" style="43" customWidth="1"/>
    <col min="33" max="34" width="10.28515625" style="43" customWidth="1"/>
    <col min="35" max="35" width="10.140625" style="43" customWidth="1"/>
    <col min="36" max="36" width="10.28515625" style="43" customWidth="1"/>
    <col min="37" max="37" width="10.140625" style="43" customWidth="1"/>
    <col min="38" max="38" width="9.140625" style="43" customWidth="1"/>
    <col min="39" max="39" width="9" style="43" customWidth="1"/>
    <col min="40" max="40" width="10.140625" style="43" customWidth="1"/>
    <col min="41" max="41" width="9.28515625" style="43" customWidth="1"/>
    <col min="42" max="42" width="9" style="43" customWidth="1"/>
    <col min="43" max="44" width="10.28515625" style="43" customWidth="1"/>
    <col min="45" max="45" width="10.140625" style="43" customWidth="1"/>
    <col min="46" max="46" width="10.28515625" style="43" customWidth="1"/>
    <col min="47" max="47" width="10.140625" style="43" customWidth="1"/>
    <col min="48" max="48" width="38.28515625" style="4" customWidth="1"/>
    <col min="49" max="49" width="34.5703125" style="4" customWidth="1"/>
    <col min="50" max="50" width="30.28515625" style="4" customWidth="1"/>
    <col min="51" max="51" width="12.5703125" style="4" customWidth="1"/>
    <col min="52" max="58" width="11.42578125" style="4"/>
    <col min="59" max="59" width="34.28515625" style="4" customWidth="1"/>
    <col min="60" max="256" width="11.42578125" style="4"/>
    <col min="257" max="257" width="19.42578125" style="4" bestFit="1" customWidth="1"/>
    <col min="258" max="258" width="23.28515625" style="4" bestFit="1" customWidth="1"/>
    <col min="259" max="259" width="35.5703125" style="4" bestFit="1" customWidth="1"/>
    <col min="260" max="260" width="42.42578125" style="4" customWidth="1"/>
    <col min="261" max="261" width="27.5703125" style="4" customWidth="1"/>
    <col min="262" max="262" width="18.28515625" style="4" customWidth="1"/>
    <col min="263" max="263" width="25.5703125" style="4" customWidth="1"/>
    <col min="264" max="264" width="26.5703125" style="4" customWidth="1"/>
    <col min="265" max="265" width="31.42578125" style="4" customWidth="1"/>
    <col min="266" max="266" width="26.5703125" style="4" customWidth="1"/>
    <col min="267" max="267" width="17.42578125" style="4" bestFit="1" customWidth="1"/>
    <col min="268" max="268" width="10.28515625" style="4" customWidth="1"/>
    <col min="269" max="269" width="19" style="4" customWidth="1"/>
    <col min="270" max="270" width="16" style="4" customWidth="1"/>
    <col min="271" max="272" width="13.5703125" style="4" customWidth="1"/>
    <col min="273" max="273" width="20.28515625" style="4" customWidth="1"/>
    <col min="274" max="274" width="9.140625" style="4" customWidth="1"/>
    <col min="275" max="275" width="9" style="4" customWidth="1"/>
    <col min="276" max="276" width="10.140625" style="4" customWidth="1"/>
    <col min="277" max="277" width="9.28515625" style="4" customWidth="1"/>
    <col min="278" max="278" width="9" style="4" customWidth="1"/>
    <col min="279" max="280" width="10.28515625" style="4" customWidth="1"/>
    <col min="281" max="281" width="10.140625" style="4" customWidth="1"/>
    <col min="282" max="282" width="10.28515625" style="4" customWidth="1"/>
    <col min="283" max="283" width="10.140625" style="4" customWidth="1"/>
    <col min="284" max="284" width="9.140625" style="4" customWidth="1"/>
    <col min="285" max="285" width="9" style="4" customWidth="1"/>
    <col min="286" max="286" width="10.140625" style="4" customWidth="1"/>
    <col min="287" max="287" width="9.28515625" style="4" customWidth="1"/>
    <col min="288" max="288" width="9" style="4" customWidth="1"/>
    <col min="289" max="290" width="10.28515625" style="4" customWidth="1"/>
    <col min="291" max="291" width="10.140625" style="4" customWidth="1"/>
    <col min="292" max="292" width="10.28515625" style="4" customWidth="1"/>
    <col min="293" max="293" width="10.140625" style="4" customWidth="1"/>
    <col min="294" max="294" width="9.140625" style="4" customWidth="1"/>
    <col min="295" max="295" width="9" style="4" customWidth="1"/>
    <col min="296" max="296" width="10.140625" style="4" customWidth="1"/>
    <col min="297" max="297" width="9.28515625" style="4" customWidth="1"/>
    <col min="298" max="298" width="9" style="4" customWidth="1"/>
    <col min="299" max="300" width="10.28515625" style="4" customWidth="1"/>
    <col min="301" max="301" width="10.140625" style="4" customWidth="1"/>
    <col min="302" max="302" width="10.28515625" style="4" customWidth="1"/>
    <col min="303" max="303" width="10.140625" style="4" customWidth="1"/>
    <col min="304" max="304" width="38.28515625" style="4" customWidth="1"/>
    <col min="305" max="305" width="34.5703125" style="4" customWidth="1"/>
    <col min="306" max="306" width="30.28515625" style="4" customWidth="1"/>
    <col min="307" max="307" width="12.5703125" style="4" customWidth="1"/>
    <col min="308" max="314" width="11.42578125" style="4"/>
    <col min="315" max="315" width="34.28515625" style="4" customWidth="1"/>
    <col min="316" max="512" width="11.42578125" style="4"/>
    <col min="513" max="513" width="19.42578125" style="4" bestFit="1" customWidth="1"/>
    <col min="514" max="514" width="23.28515625" style="4" bestFit="1" customWidth="1"/>
    <col min="515" max="515" width="35.5703125" style="4" bestFit="1" customWidth="1"/>
    <col min="516" max="516" width="42.42578125" style="4" customWidth="1"/>
    <col min="517" max="517" width="27.5703125" style="4" customWidth="1"/>
    <col min="518" max="518" width="18.28515625" style="4" customWidth="1"/>
    <col min="519" max="519" width="25.5703125" style="4" customWidth="1"/>
    <col min="520" max="520" width="26.5703125" style="4" customWidth="1"/>
    <col min="521" max="521" width="31.42578125" style="4" customWidth="1"/>
    <col min="522" max="522" width="26.5703125" style="4" customWidth="1"/>
    <col min="523" max="523" width="17.42578125" style="4" bestFit="1" customWidth="1"/>
    <col min="524" max="524" width="10.28515625" style="4" customWidth="1"/>
    <col min="525" max="525" width="19" style="4" customWidth="1"/>
    <col min="526" max="526" width="16" style="4" customWidth="1"/>
    <col min="527" max="528" width="13.5703125" style="4" customWidth="1"/>
    <col min="529" max="529" width="20.28515625" style="4" customWidth="1"/>
    <col min="530" max="530" width="9.140625" style="4" customWidth="1"/>
    <col min="531" max="531" width="9" style="4" customWidth="1"/>
    <col min="532" max="532" width="10.140625" style="4" customWidth="1"/>
    <col min="533" max="533" width="9.28515625" style="4" customWidth="1"/>
    <col min="534" max="534" width="9" style="4" customWidth="1"/>
    <col min="535" max="536" width="10.28515625" style="4" customWidth="1"/>
    <col min="537" max="537" width="10.140625" style="4" customWidth="1"/>
    <col min="538" max="538" width="10.28515625" style="4" customWidth="1"/>
    <col min="539" max="539" width="10.140625" style="4" customWidth="1"/>
    <col min="540" max="540" width="9.140625" style="4" customWidth="1"/>
    <col min="541" max="541" width="9" style="4" customWidth="1"/>
    <col min="542" max="542" width="10.140625" style="4" customWidth="1"/>
    <col min="543" max="543" width="9.28515625" style="4" customWidth="1"/>
    <col min="544" max="544" width="9" style="4" customWidth="1"/>
    <col min="545" max="546" width="10.28515625" style="4" customWidth="1"/>
    <col min="547" max="547" width="10.140625" style="4" customWidth="1"/>
    <col min="548" max="548" width="10.28515625" style="4" customWidth="1"/>
    <col min="549" max="549" width="10.140625" style="4" customWidth="1"/>
    <col min="550" max="550" width="9.140625" style="4" customWidth="1"/>
    <col min="551" max="551" width="9" style="4" customWidth="1"/>
    <col min="552" max="552" width="10.140625" style="4" customWidth="1"/>
    <col min="553" max="553" width="9.28515625" style="4" customWidth="1"/>
    <col min="554" max="554" width="9" style="4" customWidth="1"/>
    <col min="555" max="556" width="10.28515625" style="4" customWidth="1"/>
    <col min="557" max="557" width="10.140625" style="4" customWidth="1"/>
    <col min="558" max="558" width="10.28515625" style="4" customWidth="1"/>
    <col min="559" max="559" width="10.140625" style="4" customWidth="1"/>
    <col min="560" max="560" width="38.28515625" style="4" customWidth="1"/>
    <col min="561" max="561" width="34.5703125" style="4" customWidth="1"/>
    <col min="562" max="562" width="30.28515625" style="4" customWidth="1"/>
    <col min="563" max="563" width="12.5703125" style="4" customWidth="1"/>
    <col min="564" max="570" width="11.42578125" style="4"/>
    <col min="571" max="571" width="34.28515625" style="4" customWidth="1"/>
    <col min="572" max="768" width="11.42578125" style="4"/>
    <col min="769" max="769" width="19.42578125" style="4" bestFit="1" customWidth="1"/>
    <col min="770" max="770" width="23.28515625" style="4" bestFit="1" customWidth="1"/>
    <col min="771" max="771" width="35.5703125" style="4" bestFit="1" customWidth="1"/>
    <col min="772" max="772" width="42.42578125" style="4" customWidth="1"/>
    <col min="773" max="773" width="27.5703125" style="4" customWidth="1"/>
    <col min="774" max="774" width="18.28515625" style="4" customWidth="1"/>
    <col min="775" max="775" width="25.5703125" style="4" customWidth="1"/>
    <col min="776" max="776" width="26.5703125" style="4" customWidth="1"/>
    <col min="777" max="777" width="31.42578125" style="4" customWidth="1"/>
    <col min="778" max="778" width="26.5703125" style="4" customWidth="1"/>
    <col min="779" max="779" width="17.42578125" style="4" bestFit="1" customWidth="1"/>
    <col min="780" max="780" width="10.28515625" style="4" customWidth="1"/>
    <col min="781" max="781" width="19" style="4" customWidth="1"/>
    <col min="782" max="782" width="16" style="4" customWidth="1"/>
    <col min="783" max="784" width="13.5703125" style="4" customWidth="1"/>
    <col min="785" max="785" width="20.28515625" style="4" customWidth="1"/>
    <col min="786" max="786" width="9.140625" style="4" customWidth="1"/>
    <col min="787" max="787" width="9" style="4" customWidth="1"/>
    <col min="788" max="788" width="10.140625" style="4" customWidth="1"/>
    <col min="789" max="789" width="9.28515625" style="4" customWidth="1"/>
    <col min="790" max="790" width="9" style="4" customWidth="1"/>
    <col min="791" max="792" width="10.28515625" style="4" customWidth="1"/>
    <col min="793" max="793" width="10.140625" style="4" customWidth="1"/>
    <col min="794" max="794" width="10.28515625" style="4" customWidth="1"/>
    <col min="795" max="795" width="10.140625" style="4" customWidth="1"/>
    <col min="796" max="796" width="9.140625" style="4" customWidth="1"/>
    <col min="797" max="797" width="9" style="4" customWidth="1"/>
    <col min="798" max="798" width="10.140625" style="4" customWidth="1"/>
    <col min="799" max="799" width="9.28515625" style="4" customWidth="1"/>
    <col min="800" max="800" width="9" style="4" customWidth="1"/>
    <col min="801" max="802" width="10.28515625" style="4" customWidth="1"/>
    <col min="803" max="803" width="10.140625" style="4" customWidth="1"/>
    <col min="804" max="804" width="10.28515625" style="4" customWidth="1"/>
    <col min="805" max="805" width="10.140625" style="4" customWidth="1"/>
    <col min="806" max="806" width="9.140625" style="4" customWidth="1"/>
    <col min="807" max="807" width="9" style="4" customWidth="1"/>
    <col min="808" max="808" width="10.140625" style="4" customWidth="1"/>
    <col min="809" max="809" width="9.28515625" style="4" customWidth="1"/>
    <col min="810" max="810" width="9" style="4" customWidth="1"/>
    <col min="811" max="812" width="10.28515625" style="4" customWidth="1"/>
    <col min="813" max="813" width="10.140625" style="4" customWidth="1"/>
    <col min="814" max="814" width="10.28515625" style="4" customWidth="1"/>
    <col min="815" max="815" width="10.140625" style="4" customWidth="1"/>
    <col min="816" max="816" width="38.28515625" style="4" customWidth="1"/>
    <col min="817" max="817" width="34.5703125" style="4" customWidth="1"/>
    <col min="818" max="818" width="30.28515625" style="4" customWidth="1"/>
    <col min="819" max="819" width="12.5703125" style="4" customWidth="1"/>
    <col min="820" max="826" width="11.42578125" style="4"/>
    <col min="827" max="827" width="34.28515625" style="4" customWidth="1"/>
    <col min="828" max="1024" width="11.42578125" style="4"/>
    <col min="1025" max="1025" width="19.42578125" style="4" bestFit="1" customWidth="1"/>
    <col min="1026" max="1026" width="23.28515625" style="4" bestFit="1" customWidth="1"/>
    <col min="1027" max="1027" width="35.5703125" style="4" bestFit="1" customWidth="1"/>
    <col min="1028" max="1028" width="42.42578125" style="4" customWidth="1"/>
    <col min="1029" max="1029" width="27.5703125" style="4" customWidth="1"/>
    <col min="1030" max="1030" width="18.28515625" style="4" customWidth="1"/>
    <col min="1031" max="1031" width="25.5703125" style="4" customWidth="1"/>
    <col min="1032" max="1032" width="26.5703125" style="4" customWidth="1"/>
    <col min="1033" max="1033" width="31.42578125" style="4" customWidth="1"/>
    <col min="1034" max="1034" width="26.5703125" style="4" customWidth="1"/>
    <col min="1035" max="1035" width="17.42578125" style="4" bestFit="1" customWidth="1"/>
    <col min="1036" max="1036" width="10.28515625" style="4" customWidth="1"/>
    <col min="1037" max="1037" width="19" style="4" customWidth="1"/>
    <col min="1038" max="1038" width="16" style="4" customWidth="1"/>
    <col min="1039" max="1040" width="13.5703125" style="4" customWidth="1"/>
    <col min="1041" max="1041" width="20.28515625" style="4" customWidth="1"/>
    <col min="1042" max="1042" width="9.140625" style="4" customWidth="1"/>
    <col min="1043" max="1043" width="9" style="4" customWidth="1"/>
    <col min="1044" max="1044" width="10.140625" style="4" customWidth="1"/>
    <col min="1045" max="1045" width="9.28515625" style="4" customWidth="1"/>
    <col min="1046" max="1046" width="9" style="4" customWidth="1"/>
    <col min="1047" max="1048" width="10.28515625" style="4" customWidth="1"/>
    <col min="1049" max="1049" width="10.140625" style="4" customWidth="1"/>
    <col min="1050" max="1050" width="10.28515625" style="4" customWidth="1"/>
    <col min="1051" max="1051" width="10.140625" style="4" customWidth="1"/>
    <col min="1052" max="1052" width="9.140625" style="4" customWidth="1"/>
    <col min="1053" max="1053" width="9" style="4" customWidth="1"/>
    <col min="1054" max="1054" width="10.140625" style="4" customWidth="1"/>
    <col min="1055" max="1055" width="9.28515625" style="4" customWidth="1"/>
    <col min="1056" max="1056" width="9" style="4" customWidth="1"/>
    <col min="1057" max="1058" width="10.28515625" style="4" customWidth="1"/>
    <col min="1059" max="1059" width="10.140625" style="4" customWidth="1"/>
    <col min="1060" max="1060" width="10.28515625" style="4" customWidth="1"/>
    <col min="1061" max="1061" width="10.140625" style="4" customWidth="1"/>
    <col min="1062" max="1062" width="9.140625" style="4" customWidth="1"/>
    <col min="1063" max="1063" width="9" style="4" customWidth="1"/>
    <col min="1064" max="1064" width="10.140625" style="4" customWidth="1"/>
    <col min="1065" max="1065" width="9.28515625" style="4" customWidth="1"/>
    <col min="1066" max="1066" width="9" style="4" customWidth="1"/>
    <col min="1067" max="1068" width="10.28515625" style="4" customWidth="1"/>
    <col min="1069" max="1069" width="10.140625" style="4" customWidth="1"/>
    <col min="1070" max="1070" width="10.28515625" style="4" customWidth="1"/>
    <col min="1071" max="1071" width="10.140625" style="4" customWidth="1"/>
    <col min="1072" max="1072" width="38.28515625" style="4" customWidth="1"/>
    <col min="1073" max="1073" width="34.5703125" style="4" customWidth="1"/>
    <col min="1074" max="1074" width="30.28515625" style="4" customWidth="1"/>
    <col min="1075" max="1075" width="12.5703125" style="4" customWidth="1"/>
    <col min="1076" max="1082" width="11.42578125" style="4"/>
    <col min="1083" max="1083" width="34.28515625" style="4" customWidth="1"/>
    <col min="1084" max="1280" width="11.42578125" style="4"/>
    <col min="1281" max="1281" width="19.42578125" style="4" bestFit="1" customWidth="1"/>
    <col min="1282" max="1282" width="23.28515625" style="4" bestFit="1" customWidth="1"/>
    <col min="1283" max="1283" width="35.5703125" style="4" bestFit="1" customWidth="1"/>
    <col min="1284" max="1284" width="42.42578125" style="4" customWidth="1"/>
    <col min="1285" max="1285" width="27.5703125" style="4" customWidth="1"/>
    <col min="1286" max="1286" width="18.28515625" style="4" customWidth="1"/>
    <col min="1287" max="1287" width="25.5703125" style="4" customWidth="1"/>
    <col min="1288" max="1288" width="26.5703125" style="4" customWidth="1"/>
    <col min="1289" max="1289" width="31.42578125" style="4" customWidth="1"/>
    <col min="1290" max="1290" width="26.5703125" style="4" customWidth="1"/>
    <col min="1291" max="1291" width="17.42578125" style="4" bestFit="1" customWidth="1"/>
    <col min="1292" max="1292" width="10.28515625" style="4" customWidth="1"/>
    <col min="1293" max="1293" width="19" style="4" customWidth="1"/>
    <col min="1294" max="1294" width="16" style="4" customWidth="1"/>
    <col min="1295" max="1296" width="13.5703125" style="4" customWidth="1"/>
    <col min="1297" max="1297" width="20.28515625" style="4" customWidth="1"/>
    <col min="1298" max="1298" width="9.140625" style="4" customWidth="1"/>
    <col min="1299" max="1299" width="9" style="4" customWidth="1"/>
    <col min="1300" max="1300" width="10.140625" style="4" customWidth="1"/>
    <col min="1301" max="1301" width="9.28515625" style="4" customWidth="1"/>
    <col min="1302" max="1302" width="9" style="4" customWidth="1"/>
    <col min="1303" max="1304" width="10.28515625" style="4" customWidth="1"/>
    <col min="1305" max="1305" width="10.140625" style="4" customWidth="1"/>
    <col min="1306" max="1306" width="10.28515625" style="4" customWidth="1"/>
    <col min="1307" max="1307" width="10.140625" style="4" customWidth="1"/>
    <col min="1308" max="1308" width="9.140625" style="4" customWidth="1"/>
    <col min="1309" max="1309" width="9" style="4" customWidth="1"/>
    <col min="1310" max="1310" width="10.140625" style="4" customWidth="1"/>
    <col min="1311" max="1311" width="9.28515625" style="4" customWidth="1"/>
    <col min="1312" max="1312" width="9" style="4" customWidth="1"/>
    <col min="1313" max="1314" width="10.28515625" style="4" customWidth="1"/>
    <col min="1315" max="1315" width="10.140625" style="4" customWidth="1"/>
    <col min="1316" max="1316" width="10.28515625" style="4" customWidth="1"/>
    <col min="1317" max="1317" width="10.140625" style="4" customWidth="1"/>
    <col min="1318" max="1318" width="9.140625" style="4" customWidth="1"/>
    <col min="1319" max="1319" width="9" style="4" customWidth="1"/>
    <col min="1320" max="1320" width="10.140625" style="4" customWidth="1"/>
    <col min="1321" max="1321" width="9.28515625" style="4" customWidth="1"/>
    <col min="1322" max="1322" width="9" style="4" customWidth="1"/>
    <col min="1323" max="1324" width="10.28515625" style="4" customWidth="1"/>
    <col min="1325" max="1325" width="10.140625" style="4" customWidth="1"/>
    <col min="1326" max="1326" width="10.28515625" style="4" customWidth="1"/>
    <col min="1327" max="1327" width="10.140625" style="4" customWidth="1"/>
    <col min="1328" max="1328" width="38.28515625" style="4" customWidth="1"/>
    <col min="1329" max="1329" width="34.5703125" style="4" customWidth="1"/>
    <col min="1330" max="1330" width="30.28515625" style="4" customWidth="1"/>
    <col min="1331" max="1331" width="12.5703125" style="4" customWidth="1"/>
    <col min="1332" max="1338" width="11.42578125" style="4"/>
    <col min="1339" max="1339" width="34.28515625" style="4" customWidth="1"/>
    <col min="1340" max="1536" width="11.42578125" style="4"/>
    <col min="1537" max="1537" width="19.42578125" style="4" bestFit="1" customWidth="1"/>
    <col min="1538" max="1538" width="23.28515625" style="4" bestFit="1" customWidth="1"/>
    <col min="1539" max="1539" width="35.5703125" style="4" bestFit="1" customWidth="1"/>
    <col min="1540" max="1540" width="42.42578125" style="4" customWidth="1"/>
    <col min="1541" max="1541" width="27.5703125" style="4" customWidth="1"/>
    <col min="1542" max="1542" width="18.28515625" style="4" customWidth="1"/>
    <col min="1543" max="1543" width="25.5703125" style="4" customWidth="1"/>
    <col min="1544" max="1544" width="26.5703125" style="4" customWidth="1"/>
    <col min="1545" max="1545" width="31.42578125" style="4" customWidth="1"/>
    <col min="1546" max="1546" width="26.5703125" style="4" customWidth="1"/>
    <col min="1547" max="1547" width="17.42578125" style="4" bestFit="1" customWidth="1"/>
    <col min="1548" max="1548" width="10.28515625" style="4" customWidth="1"/>
    <col min="1549" max="1549" width="19" style="4" customWidth="1"/>
    <col min="1550" max="1550" width="16" style="4" customWidth="1"/>
    <col min="1551" max="1552" width="13.5703125" style="4" customWidth="1"/>
    <col min="1553" max="1553" width="20.28515625" style="4" customWidth="1"/>
    <col min="1554" max="1554" width="9.140625" style="4" customWidth="1"/>
    <col min="1555" max="1555" width="9" style="4" customWidth="1"/>
    <col min="1556" max="1556" width="10.140625" style="4" customWidth="1"/>
    <col min="1557" max="1557" width="9.28515625" style="4" customWidth="1"/>
    <col min="1558" max="1558" width="9" style="4" customWidth="1"/>
    <col min="1559" max="1560" width="10.28515625" style="4" customWidth="1"/>
    <col min="1561" max="1561" width="10.140625" style="4" customWidth="1"/>
    <col min="1562" max="1562" width="10.28515625" style="4" customWidth="1"/>
    <col min="1563" max="1563" width="10.140625" style="4" customWidth="1"/>
    <col min="1564" max="1564" width="9.140625" style="4" customWidth="1"/>
    <col min="1565" max="1565" width="9" style="4" customWidth="1"/>
    <col min="1566" max="1566" width="10.140625" style="4" customWidth="1"/>
    <col min="1567" max="1567" width="9.28515625" style="4" customWidth="1"/>
    <col min="1568" max="1568" width="9" style="4" customWidth="1"/>
    <col min="1569" max="1570" width="10.28515625" style="4" customWidth="1"/>
    <col min="1571" max="1571" width="10.140625" style="4" customWidth="1"/>
    <col min="1572" max="1572" width="10.28515625" style="4" customWidth="1"/>
    <col min="1573" max="1573" width="10.140625" style="4" customWidth="1"/>
    <col min="1574" max="1574" width="9.140625" style="4" customWidth="1"/>
    <col min="1575" max="1575" width="9" style="4" customWidth="1"/>
    <col min="1576" max="1576" width="10.140625" style="4" customWidth="1"/>
    <col min="1577" max="1577" width="9.28515625" style="4" customWidth="1"/>
    <col min="1578" max="1578" width="9" style="4" customWidth="1"/>
    <col min="1579" max="1580" width="10.28515625" style="4" customWidth="1"/>
    <col min="1581" max="1581" width="10.140625" style="4" customWidth="1"/>
    <col min="1582" max="1582" width="10.28515625" style="4" customWidth="1"/>
    <col min="1583" max="1583" width="10.140625" style="4" customWidth="1"/>
    <col min="1584" max="1584" width="38.28515625" style="4" customWidth="1"/>
    <col min="1585" max="1585" width="34.5703125" style="4" customWidth="1"/>
    <col min="1586" max="1586" width="30.28515625" style="4" customWidth="1"/>
    <col min="1587" max="1587" width="12.5703125" style="4" customWidth="1"/>
    <col min="1588" max="1594" width="11.42578125" style="4"/>
    <col min="1595" max="1595" width="34.28515625" style="4" customWidth="1"/>
    <col min="1596" max="1792" width="11.42578125" style="4"/>
    <col min="1793" max="1793" width="19.42578125" style="4" bestFit="1" customWidth="1"/>
    <col min="1794" max="1794" width="23.28515625" style="4" bestFit="1" customWidth="1"/>
    <col min="1795" max="1795" width="35.5703125" style="4" bestFit="1" customWidth="1"/>
    <col min="1796" max="1796" width="42.42578125" style="4" customWidth="1"/>
    <col min="1797" max="1797" width="27.5703125" style="4" customWidth="1"/>
    <col min="1798" max="1798" width="18.28515625" style="4" customWidth="1"/>
    <col min="1799" max="1799" width="25.5703125" style="4" customWidth="1"/>
    <col min="1800" max="1800" width="26.5703125" style="4" customWidth="1"/>
    <col min="1801" max="1801" width="31.42578125" style="4" customWidth="1"/>
    <col min="1802" max="1802" width="26.5703125" style="4" customWidth="1"/>
    <col min="1803" max="1803" width="17.42578125" style="4" bestFit="1" customWidth="1"/>
    <col min="1804" max="1804" width="10.28515625" style="4" customWidth="1"/>
    <col min="1805" max="1805" width="19" style="4" customWidth="1"/>
    <col min="1806" max="1806" width="16" style="4" customWidth="1"/>
    <col min="1807" max="1808" width="13.5703125" style="4" customWidth="1"/>
    <col min="1809" max="1809" width="20.28515625" style="4" customWidth="1"/>
    <col min="1810" max="1810" width="9.140625" style="4" customWidth="1"/>
    <col min="1811" max="1811" width="9" style="4" customWidth="1"/>
    <col min="1812" max="1812" width="10.140625" style="4" customWidth="1"/>
    <col min="1813" max="1813" width="9.28515625" style="4" customWidth="1"/>
    <col min="1814" max="1814" width="9" style="4" customWidth="1"/>
    <col min="1815" max="1816" width="10.28515625" style="4" customWidth="1"/>
    <col min="1817" max="1817" width="10.140625" style="4" customWidth="1"/>
    <col min="1818" max="1818" width="10.28515625" style="4" customWidth="1"/>
    <col min="1819" max="1819" width="10.140625" style="4" customWidth="1"/>
    <col min="1820" max="1820" width="9.140625" style="4" customWidth="1"/>
    <col min="1821" max="1821" width="9" style="4" customWidth="1"/>
    <col min="1822" max="1822" width="10.140625" style="4" customWidth="1"/>
    <col min="1823" max="1823" width="9.28515625" style="4" customWidth="1"/>
    <col min="1824" max="1824" width="9" style="4" customWidth="1"/>
    <col min="1825" max="1826" width="10.28515625" style="4" customWidth="1"/>
    <col min="1827" max="1827" width="10.140625" style="4" customWidth="1"/>
    <col min="1828" max="1828" width="10.28515625" style="4" customWidth="1"/>
    <col min="1829" max="1829" width="10.140625" style="4" customWidth="1"/>
    <col min="1830" max="1830" width="9.140625" style="4" customWidth="1"/>
    <col min="1831" max="1831" width="9" style="4" customWidth="1"/>
    <col min="1832" max="1832" width="10.140625" style="4" customWidth="1"/>
    <col min="1833" max="1833" width="9.28515625" style="4" customWidth="1"/>
    <col min="1834" max="1834" width="9" style="4" customWidth="1"/>
    <col min="1835" max="1836" width="10.28515625" style="4" customWidth="1"/>
    <col min="1837" max="1837" width="10.140625" style="4" customWidth="1"/>
    <col min="1838" max="1838" width="10.28515625" style="4" customWidth="1"/>
    <col min="1839" max="1839" width="10.140625" style="4" customWidth="1"/>
    <col min="1840" max="1840" width="38.28515625" style="4" customWidth="1"/>
    <col min="1841" max="1841" width="34.5703125" style="4" customWidth="1"/>
    <col min="1842" max="1842" width="30.28515625" style="4" customWidth="1"/>
    <col min="1843" max="1843" width="12.5703125" style="4" customWidth="1"/>
    <col min="1844" max="1850" width="11.42578125" style="4"/>
    <col min="1851" max="1851" width="34.28515625" style="4" customWidth="1"/>
    <col min="1852" max="2048" width="11.42578125" style="4"/>
    <col min="2049" max="2049" width="19.42578125" style="4" bestFit="1" customWidth="1"/>
    <col min="2050" max="2050" width="23.28515625" style="4" bestFit="1" customWidth="1"/>
    <col min="2051" max="2051" width="35.5703125" style="4" bestFit="1" customWidth="1"/>
    <col min="2052" max="2052" width="42.42578125" style="4" customWidth="1"/>
    <col min="2053" max="2053" width="27.5703125" style="4" customWidth="1"/>
    <col min="2054" max="2054" width="18.28515625" style="4" customWidth="1"/>
    <col min="2055" max="2055" width="25.5703125" style="4" customWidth="1"/>
    <col min="2056" max="2056" width="26.5703125" style="4" customWidth="1"/>
    <col min="2057" max="2057" width="31.42578125" style="4" customWidth="1"/>
    <col min="2058" max="2058" width="26.5703125" style="4" customWidth="1"/>
    <col min="2059" max="2059" width="17.42578125" style="4" bestFit="1" customWidth="1"/>
    <col min="2060" max="2060" width="10.28515625" style="4" customWidth="1"/>
    <col min="2061" max="2061" width="19" style="4" customWidth="1"/>
    <col min="2062" max="2062" width="16" style="4" customWidth="1"/>
    <col min="2063" max="2064" width="13.5703125" style="4" customWidth="1"/>
    <col min="2065" max="2065" width="20.28515625" style="4" customWidth="1"/>
    <col min="2066" max="2066" width="9.140625" style="4" customWidth="1"/>
    <col min="2067" max="2067" width="9" style="4" customWidth="1"/>
    <col min="2068" max="2068" width="10.140625" style="4" customWidth="1"/>
    <col min="2069" max="2069" width="9.28515625" style="4" customWidth="1"/>
    <col min="2070" max="2070" width="9" style="4" customWidth="1"/>
    <col min="2071" max="2072" width="10.28515625" style="4" customWidth="1"/>
    <col min="2073" max="2073" width="10.140625" style="4" customWidth="1"/>
    <col min="2074" max="2074" width="10.28515625" style="4" customWidth="1"/>
    <col min="2075" max="2075" width="10.140625" style="4" customWidth="1"/>
    <col min="2076" max="2076" width="9.140625" style="4" customWidth="1"/>
    <col min="2077" max="2077" width="9" style="4" customWidth="1"/>
    <col min="2078" max="2078" width="10.140625" style="4" customWidth="1"/>
    <col min="2079" max="2079" width="9.28515625" style="4" customWidth="1"/>
    <col min="2080" max="2080" width="9" style="4" customWidth="1"/>
    <col min="2081" max="2082" width="10.28515625" style="4" customWidth="1"/>
    <col min="2083" max="2083" width="10.140625" style="4" customWidth="1"/>
    <col min="2084" max="2084" width="10.28515625" style="4" customWidth="1"/>
    <col min="2085" max="2085" width="10.140625" style="4" customWidth="1"/>
    <col min="2086" max="2086" width="9.140625" style="4" customWidth="1"/>
    <col min="2087" max="2087" width="9" style="4" customWidth="1"/>
    <col min="2088" max="2088" width="10.140625" style="4" customWidth="1"/>
    <col min="2089" max="2089" width="9.28515625" style="4" customWidth="1"/>
    <col min="2090" max="2090" width="9" style="4" customWidth="1"/>
    <col min="2091" max="2092" width="10.28515625" style="4" customWidth="1"/>
    <col min="2093" max="2093" width="10.140625" style="4" customWidth="1"/>
    <col min="2094" max="2094" width="10.28515625" style="4" customWidth="1"/>
    <col min="2095" max="2095" width="10.140625" style="4" customWidth="1"/>
    <col min="2096" max="2096" width="38.28515625" style="4" customWidth="1"/>
    <col min="2097" max="2097" width="34.5703125" style="4" customWidth="1"/>
    <col min="2098" max="2098" width="30.28515625" style="4" customWidth="1"/>
    <col min="2099" max="2099" width="12.5703125" style="4" customWidth="1"/>
    <col min="2100" max="2106" width="11.42578125" style="4"/>
    <col min="2107" max="2107" width="34.28515625" style="4" customWidth="1"/>
    <col min="2108" max="2304" width="11.42578125" style="4"/>
    <col min="2305" max="2305" width="19.42578125" style="4" bestFit="1" customWidth="1"/>
    <col min="2306" max="2306" width="23.28515625" style="4" bestFit="1" customWidth="1"/>
    <col min="2307" max="2307" width="35.5703125" style="4" bestFit="1" customWidth="1"/>
    <col min="2308" max="2308" width="42.42578125" style="4" customWidth="1"/>
    <col min="2309" max="2309" width="27.5703125" style="4" customWidth="1"/>
    <col min="2310" max="2310" width="18.28515625" style="4" customWidth="1"/>
    <col min="2311" max="2311" width="25.5703125" style="4" customWidth="1"/>
    <col min="2312" max="2312" width="26.5703125" style="4" customWidth="1"/>
    <col min="2313" max="2313" width="31.42578125" style="4" customWidth="1"/>
    <col min="2314" max="2314" width="26.5703125" style="4" customWidth="1"/>
    <col min="2315" max="2315" width="17.42578125" style="4" bestFit="1" customWidth="1"/>
    <col min="2316" max="2316" width="10.28515625" style="4" customWidth="1"/>
    <col min="2317" max="2317" width="19" style="4" customWidth="1"/>
    <col min="2318" max="2318" width="16" style="4" customWidth="1"/>
    <col min="2319" max="2320" width="13.5703125" style="4" customWidth="1"/>
    <col min="2321" max="2321" width="20.28515625" style="4" customWidth="1"/>
    <col min="2322" max="2322" width="9.140625" style="4" customWidth="1"/>
    <col min="2323" max="2323" width="9" style="4" customWidth="1"/>
    <col min="2324" max="2324" width="10.140625" style="4" customWidth="1"/>
    <col min="2325" max="2325" width="9.28515625" style="4" customWidth="1"/>
    <col min="2326" max="2326" width="9" style="4" customWidth="1"/>
    <col min="2327" max="2328" width="10.28515625" style="4" customWidth="1"/>
    <col min="2329" max="2329" width="10.140625" style="4" customWidth="1"/>
    <col min="2330" max="2330" width="10.28515625" style="4" customWidth="1"/>
    <col min="2331" max="2331" width="10.140625" style="4" customWidth="1"/>
    <col min="2332" max="2332" width="9.140625" style="4" customWidth="1"/>
    <col min="2333" max="2333" width="9" style="4" customWidth="1"/>
    <col min="2334" max="2334" width="10.140625" style="4" customWidth="1"/>
    <col min="2335" max="2335" width="9.28515625" style="4" customWidth="1"/>
    <col min="2336" max="2336" width="9" style="4" customWidth="1"/>
    <col min="2337" max="2338" width="10.28515625" style="4" customWidth="1"/>
    <col min="2339" max="2339" width="10.140625" style="4" customWidth="1"/>
    <col min="2340" max="2340" width="10.28515625" style="4" customWidth="1"/>
    <col min="2341" max="2341" width="10.140625" style="4" customWidth="1"/>
    <col min="2342" max="2342" width="9.140625" style="4" customWidth="1"/>
    <col min="2343" max="2343" width="9" style="4" customWidth="1"/>
    <col min="2344" max="2344" width="10.140625" style="4" customWidth="1"/>
    <col min="2345" max="2345" width="9.28515625" style="4" customWidth="1"/>
    <col min="2346" max="2346" width="9" style="4" customWidth="1"/>
    <col min="2347" max="2348" width="10.28515625" style="4" customWidth="1"/>
    <col min="2349" max="2349" width="10.140625" style="4" customWidth="1"/>
    <col min="2350" max="2350" width="10.28515625" style="4" customWidth="1"/>
    <col min="2351" max="2351" width="10.140625" style="4" customWidth="1"/>
    <col min="2352" max="2352" width="38.28515625" style="4" customWidth="1"/>
    <col min="2353" max="2353" width="34.5703125" style="4" customWidth="1"/>
    <col min="2354" max="2354" width="30.28515625" style="4" customWidth="1"/>
    <col min="2355" max="2355" width="12.5703125" style="4" customWidth="1"/>
    <col min="2356" max="2362" width="11.42578125" style="4"/>
    <col min="2363" max="2363" width="34.28515625" style="4" customWidth="1"/>
    <col min="2364" max="2560" width="11.42578125" style="4"/>
    <col min="2561" max="2561" width="19.42578125" style="4" bestFit="1" customWidth="1"/>
    <col min="2562" max="2562" width="23.28515625" style="4" bestFit="1" customWidth="1"/>
    <col min="2563" max="2563" width="35.5703125" style="4" bestFit="1" customWidth="1"/>
    <col min="2564" max="2564" width="42.42578125" style="4" customWidth="1"/>
    <col min="2565" max="2565" width="27.5703125" style="4" customWidth="1"/>
    <col min="2566" max="2566" width="18.28515625" style="4" customWidth="1"/>
    <col min="2567" max="2567" width="25.5703125" style="4" customWidth="1"/>
    <col min="2568" max="2568" width="26.5703125" style="4" customWidth="1"/>
    <col min="2569" max="2569" width="31.42578125" style="4" customWidth="1"/>
    <col min="2570" max="2570" width="26.5703125" style="4" customWidth="1"/>
    <col min="2571" max="2571" width="17.42578125" style="4" bestFit="1" customWidth="1"/>
    <col min="2572" max="2572" width="10.28515625" style="4" customWidth="1"/>
    <col min="2573" max="2573" width="19" style="4" customWidth="1"/>
    <col min="2574" max="2574" width="16" style="4" customWidth="1"/>
    <col min="2575" max="2576" width="13.5703125" style="4" customWidth="1"/>
    <col min="2577" max="2577" width="20.28515625" style="4" customWidth="1"/>
    <col min="2578" max="2578" width="9.140625" style="4" customWidth="1"/>
    <col min="2579" max="2579" width="9" style="4" customWidth="1"/>
    <col min="2580" max="2580" width="10.140625" style="4" customWidth="1"/>
    <col min="2581" max="2581" width="9.28515625" style="4" customWidth="1"/>
    <col min="2582" max="2582" width="9" style="4" customWidth="1"/>
    <col min="2583" max="2584" width="10.28515625" style="4" customWidth="1"/>
    <col min="2585" max="2585" width="10.140625" style="4" customWidth="1"/>
    <col min="2586" max="2586" width="10.28515625" style="4" customWidth="1"/>
    <col min="2587" max="2587" width="10.140625" style="4" customWidth="1"/>
    <col min="2588" max="2588" width="9.140625" style="4" customWidth="1"/>
    <col min="2589" max="2589" width="9" style="4" customWidth="1"/>
    <col min="2590" max="2590" width="10.140625" style="4" customWidth="1"/>
    <col min="2591" max="2591" width="9.28515625" style="4" customWidth="1"/>
    <col min="2592" max="2592" width="9" style="4" customWidth="1"/>
    <col min="2593" max="2594" width="10.28515625" style="4" customWidth="1"/>
    <col min="2595" max="2595" width="10.140625" style="4" customWidth="1"/>
    <col min="2596" max="2596" width="10.28515625" style="4" customWidth="1"/>
    <col min="2597" max="2597" width="10.140625" style="4" customWidth="1"/>
    <col min="2598" max="2598" width="9.140625" style="4" customWidth="1"/>
    <col min="2599" max="2599" width="9" style="4" customWidth="1"/>
    <col min="2600" max="2600" width="10.140625" style="4" customWidth="1"/>
    <col min="2601" max="2601" width="9.28515625" style="4" customWidth="1"/>
    <col min="2602" max="2602" width="9" style="4" customWidth="1"/>
    <col min="2603" max="2604" width="10.28515625" style="4" customWidth="1"/>
    <col min="2605" max="2605" width="10.140625" style="4" customWidth="1"/>
    <col min="2606" max="2606" width="10.28515625" style="4" customWidth="1"/>
    <col min="2607" max="2607" width="10.140625" style="4" customWidth="1"/>
    <col min="2608" max="2608" width="38.28515625" style="4" customWidth="1"/>
    <col min="2609" max="2609" width="34.5703125" style="4" customWidth="1"/>
    <col min="2610" max="2610" width="30.28515625" style="4" customWidth="1"/>
    <col min="2611" max="2611" width="12.5703125" style="4" customWidth="1"/>
    <col min="2612" max="2618" width="11.42578125" style="4"/>
    <col min="2619" max="2619" width="34.28515625" style="4" customWidth="1"/>
    <col min="2620" max="2816" width="11.42578125" style="4"/>
    <col min="2817" max="2817" width="19.42578125" style="4" bestFit="1" customWidth="1"/>
    <col min="2818" max="2818" width="23.28515625" style="4" bestFit="1" customWidth="1"/>
    <col min="2819" max="2819" width="35.5703125" style="4" bestFit="1" customWidth="1"/>
    <col min="2820" max="2820" width="42.42578125" style="4" customWidth="1"/>
    <col min="2821" max="2821" width="27.5703125" style="4" customWidth="1"/>
    <col min="2822" max="2822" width="18.28515625" style="4" customWidth="1"/>
    <col min="2823" max="2823" width="25.5703125" style="4" customWidth="1"/>
    <col min="2824" max="2824" width="26.5703125" style="4" customWidth="1"/>
    <col min="2825" max="2825" width="31.42578125" style="4" customWidth="1"/>
    <col min="2826" max="2826" width="26.5703125" style="4" customWidth="1"/>
    <col min="2827" max="2827" width="17.42578125" style="4" bestFit="1" customWidth="1"/>
    <col min="2828" max="2828" width="10.28515625" style="4" customWidth="1"/>
    <col min="2829" max="2829" width="19" style="4" customWidth="1"/>
    <col min="2830" max="2830" width="16" style="4" customWidth="1"/>
    <col min="2831" max="2832" width="13.5703125" style="4" customWidth="1"/>
    <col min="2833" max="2833" width="20.28515625" style="4" customWidth="1"/>
    <col min="2834" max="2834" width="9.140625" style="4" customWidth="1"/>
    <col min="2835" max="2835" width="9" style="4" customWidth="1"/>
    <col min="2836" max="2836" width="10.140625" style="4" customWidth="1"/>
    <col min="2837" max="2837" width="9.28515625" style="4" customWidth="1"/>
    <col min="2838" max="2838" width="9" style="4" customWidth="1"/>
    <col min="2839" max="2840" width="10.28515625" style="4" customWidth="1"/>
    <col min="2841" max="2841" width="10.140625" style="4" customWidth="1"/>
    <col min="2842" max="2842" width="10.28515625" style="4" customWidth="1"/>
    <col min="2843" max="2843" width="10.140625" style="4" customWidth="1"/>
    <col min="2844" max="2844" width="9.140625" style="4" customWidth="1"/>
    <col min="2845" max="2845" width="9" style="4" customWidth="1"/>
    <col min="2846" max="2846" width="10.140625" style="4" customWidth="1"/>
    <col min="2847" max="2847" width="9.28515625" style="4" customWidth="1"/>
    <col min="2848" max="2848" width="9" style="4" customWidth="1"/>
    <col min="2849" max="2850" width="10.28515625" style="4" customWidth="1"/>
    <col min="2851" max="2851" width="10.140625" style="4" customWidth="1"/>
    <col min="2852" max="2852" width="10.28515625" style="4" customWidth="1"/>
    <col min="2853" max="2853" width="10.140625" style="4" customWidth="1"/>
    <col min="2854" max="2854" width="9.140625" style="4" customWidth="1"/>
    <col min="2855" max="2855" width="9" style="4" customWidth="1"/>
    <col min="2856" max="2856" width="10.140625" style="4" customWidth="1"/>
    <col min="2857" max="2857" width="9.28515625" style="4" customWidth="1"/>
    <col min="2858" max="2858" width="9" style="4" customWidth="1"/>
    <col min="2859" max="2860" width="10.28515625" style="4" customWidth="1"/>
    <col min="2861" max="2861" width="10.140625" style="4" customWidth="1"/>
    <col min="2862" max="2862" width="10.28515625" style="4" customWidth="1"/>
    <col min="2863" max="2863" width="10.140625" style="4" customWidth="1"/>
    <col min="2864" max="2864" width="38.28515625" style="4" customWidth="1"/>
    <col min="2865" max="2865" width="34.5703125" style="4" customWidth="1"/>
    <col min="2866" max="2866" width="30.28515625" style="4" customWidth="1"/>
    <col min="2867" max="2867" width="12.5703125" style="4" customWidth="1"/>
    <col min="2868" max="2874" width="11.42578125" style="4"/>
    <col min="2875" max="2875" width="34.28515625" style="4" customWidth="1"/>
    <col min="2876" max="3072" width="11.42578125" style="4"/>
    <col min="3073" max="3073" width="19.42578125" style="4" bestFit="1" customWidth="1"/>
    <col min="3074" max="3074" width="23.28515625" style="4" bestFit="1" customWidth="1"/>
    <col min="3075" max="3075" width="35.5703125" style="4" bestFit="1" customWidth="1"/>
    <col min="3076" max="3076" width="42.42578125" style="4" customWidth="1"/>
    <col min="3077" max="3077" width="27.5703125" style="4" customWidth="1"/>
    <col min="3078" max="3078" width="18.28515625" style="4" customWidth="1"/>
    <col min="3079" max="3079" width="25.5703125" style="4" customWidth="1"/>
    <col min="3080" max="3080" width="26.5703125" style="4" customWidth="1"/>
    <col min="3081" max="3081" width="31.42578125" style="4" customWidth="1"/>
    <col min="3082" max="3082" width="26.5703125" style="4" customWidth="1"/>
    <col min="3083" max="3083" width="17.42578125" style="4" bestFit="1" customWidth="1"/>
    <col min="3084" max="3084" width="10.28515625" style="4" customWidth="1"/>
    <col min="3085" max="3085" width="19" style="4" customWidth="1"/>
    <col min="3086" max="3086" width="16" style="4" customWidth="1"/>
    <col min="3087" max="3088" width="13.5703125" style="4" customWidth="1"/>
    <col min="3089" max="3089" width="20.28515625" style="4" customWidth="1"/>
    <col min="3090" max="3090" width="9.140625" style="4" customWidth="1"/>
    <col min="3091" max="3091" width="9" style="4" customWidth="1"/>
    <col min="3092" max="3092" width="10.140625" style="4" customWidth="1"/>
    <col min="3093" max="3093" width="9.28515625" style="4" customWidth="1"/>
    <col min="3094" max="3094" width="9" style="4" customWidth="1"/>
    <col min="3095" max="3096" width="10.28515625" style="4" customWidth="1"/>
    <col min="3097" max="3097" width="10.140625" style="4" customWidth="1"/>
    <col min="3098" max="3098" width="10.28515625" style="4" customWidth="1"/>
    <col min="3099" max="3099" width="10.140625" style="4" customWidth="1"/>
    <col min="3100" max="3100" width="9.140625" style="4" customWidth="1"/>
    <col min="3101" max="3101" width="9" style="4" customWidth="1"/>
    <col min="3102" max="3102" width="10.140625" style="4" customWidth="1"/>
    <col min="3103" max="3103" width="9.28515625" style="4" customWidth="1"/>
    <col min="3104" max="3104" width="9" style="4" customWidth="1"/>
    <col min="3105" max="3106" width="10.28515625" style="4" customWidth="1"/>
    <col min="3107" max="3107" width="10.140625" style="4" customWidth="1"/>
    <col min="3108" max="3108" width="10.28515625" style="4" customWidth="1"/>
    <col min="3109" max="3109" width="10.140625" style="4" customWidth="1"/>
    <col min="3110" max="3110" width="9.140625" style="4" customWidth="1"/>
    <col min="3111" max="3111" width="9" style="4" customWidth="1"/>
    <col min="3112" max="3112" width="10.140625" style="4" customWidth="1"/>
    <col min="3113" max="3113" width="9.28515625" style="4" customWidth="1"/>
    <col min="3114" max="3114" width="9" style="4" customWidth="1"/>
    <col min="3115" max="3116" width="10.28515625" style="4" customWidth="1"/>
    <col min="3117" max="3117" width="10.140625" style="4" customWidth="1"/>
    <col min="3118" max="3118" width="10.28515625" style="4" customWidth="1"/>
    <col min="3119" max="3119" width="10.140625" style="4" customWidth="1"/>
    <col min="3120" max="3120" width="38.28515625" style="4" customWidth="1"/>
    <col min="3121" max="3121" width="34.5703125" style="4" customWidth="1"/>
    <col min="3122" max="3122" width="30.28515625" style="4" customWidth="1"/>
    <col min="3123" max="3123" width="12.5703125" style="4" customWidth="1"/>
    <col min="3124" max="3130" width="11.42578125" style="4"/>
    <col min="3131" max="3131" width="34.28515625" style="4" customWidth="1"/>
    <col min="3132" max="3328" width="11.42578125" style="4"/>
    <col min="3329" max="3329" width="19.42578125" style="4" bestFit="1" customWidth="1"/>
    <col min="3330" max="3330" width="23.28515625" style="4" bestFit="1" customWidth="1"/>
    <col min="3331" max="3331" width="35.5703125" style="4" bestFit="1" customWidth="1"/>
    <col min="3332" max="3332" width="42.42578125" style="4" customWidth="1"/>
    <col min="3333" max="3333" width="27.5703125" style="4" customWidth="1"/>
    <col min="3334" max="3334" width="18.28515625" style="4" customWidth="1"/>
    <col min="3335" max="3335" width="25.5703125" style="4" customWidth="1"/>
    <col min="3336" max="3336" width="26.5703125" style="4" customWidth="1"/>
    <col min="3337" max="3337" width="31.42578125" style="4" customWidth="1"/>
    <col min="3338" max="3338" width="26.5703125" style="4" customWidth="1"/>
    <col min="3339" max="3339" width="17.42578125" style="4" bestFit="1" customWidth="1"/>
    <col min="3340" max="3340" width="10.28515625" style="4" customWidth="1"/>
    <col min="3341" max="3341" width="19" style="4" customWidth="1"/>
    <col min="3342" max="3342" width="16" style="4" customWidth="1"/>
    <col min="3343" max="3344" width="13.5703125" style="4" customWidth="1"/>
    <col min="3345" max="3345" width="20.28515625" style="4" customWidth="1"/>
    <col min="3346" max="3346" width="9.140625" style="4" customWidth="1"/>
    <col min="3347" max="3347" width="9" style="4" customWidth="1"/>
    <col min="3348" max="3348" width="10.140625" style="4" customWidth="1"/>
    <col min="3349" max="3349" width="9.28515625" style="4" customWidth="1"/>
    <col min="3350" max="3350" width="9" style="4" customWidth="1"/>
    <col min="3351" max="3352" width="10.28515625" style="4" customWidth="1"/>
    <col min="3353" max="3353" width="10.140625" style="4" customWidth="1"/>
    <col min="3354" max="3354" width="10.28515625" style="4" customWidth="1"/>
    <col min="3355" max="3355" width="10.140625" style="4" customWidth="1"/>
    <col min="3356" max="3356" width="9.140625" style="4" customWidth="1"/>
    <col min="3357" max="3357" width="9" style="4" customWidth="1"/>
    <col min="3358" max="3358" width="10.140625" style="4" customWidth="1"/>
    <col min="3359" max="3359" width="9.28515625" style="4" customWidth="1"/>
    <col min="3360" max="3360" width="9" style="4" customWidth="1"/>
    <col min="3361" max="3362" width="10.28515625" style="4" customWidth="1"/>
    <col min="3363" max="3363" width="10.140625" style="4" customWidth="1"/>
    <col min="3364" max="3364" width="10.28515625" style="4" customWidth="1"/>
    <col min="3365" max="3365" width="10.140625" style="4" customWidth="1"/>
    <col min="3366" max="3366" width="9.140625" style="4" customWidth="1"/>
    <col min="3367" max="3367" width="9" style="4" customWidth="1"/>
    <col min="3368" max="3368" width="10.140625" style="4" customWidth="1"/>
    <col min="3369" max="3369" width="9.28515625" style="4" customWidth="1"/>
    <col min="3370" max="3370" width="9" style="4" customWidth="1"/>
    <col min="3371" max="3372" width="10.28515625" style="4" customWidth="1"/>
    <col min="3373" max="3373" width="10.140625" style="4" customWidth="1"/>
    <col min="3374" max="3374" width="10.28515625" style="4" customWidth="1"/>
    <col min="3375" max="3375" width="10.140625" style="4" customWidth="1"/>
    <col min="3376" max="3376" width="38.28515625" style="4" customWidth="1"/>
    <col min="3377" max="3377" width="34.5703125" style="4" customWidth="1"/>
    <col min="3378" max="3378" width="30.28515625" style="4" customWidth="1"/>
    <col min="3379" max="3379" width="12.5703125" style="4" customWidth="1"/>
    <col min="3380" max="3386" width="11.42578125" style="4"/>
    <col min="3387" max="3387" width="34.28515625" style="4" customWidth="1"/>
    <col min="3388" max="3584" width="11.42578125" style="4"/>
    <col min="3585" max="3585" width="19.42578125" style="4" bestFit="1" customWidth="1"/>
    <col min="3586" max="3586" width="23.28515625" style="4" bestFit="1" customWidth="1"/>
    <col min="3587" max="3587" width="35.5703125" style="4" bestFit="1" customWidth="1"/>
    <col min="3588" max="3588" width="42.42578125" style="4" customWidth="1"/>
    <col min="3589" max="3589" width="27.5703125" style="4" customWidth="1"/>
    <col min="3590" max="3590" width="18.28515625" style="4" customWidth="1"/>
    <col min="3591" max="3591" width="25.5703125" style="4" customWidth="1"/>
    <col min="3592" max="3592" width="26.5703125" style="4" customWidth="1"/>
    <col min="3593" max="3593" width="31.42578125" style="4" customWidth="1"/>
    <col min="3594" max="3594" width="26.5703125" style="4" customWidth="1"/>
    <col min="3595" max="3595" width="17.42578125" style="4" bestFit="1" customWidth="1"/>
    <col min="3596" max="3596" width="10.28515625" style="4" customWidth="1"/>
    <col min="3597" max="3597" width="19" style="4" customWidth="1"/>
    <col min="3598" max="3598" width="16" style="4" customWidth="1"/>
    <col min="3599" max="3600" width="13.5703125" style="4" customWidth="1"/>
    <col min="3601" max="3601" width="20.28515625" style="4" customWidth="1"/>
    <col min="3602" max="3602" width="9.140625" style="4" customWidth="1"/>
    <col min="3603" max="3603" width="9" style="4" customWidth="1"/>
    <col min="3604" max="3604" width="10.140625" style="4" customWidth="1"/>
    <col min="3605" max="3605" width="9.28515625" style="4" customWidth="1"/>
    <col min="3606" max="3606" width="9" style="4" customWidth="1"/>
    <col min="3607" max="3608" width="10.28515625" style="4" customWidth="1"/>
    <col min="3609" max="3609" width="10.140625" style="4" customWidth="1"/>
    <col min="3610" max="3610" width="10.28515625" style="4" customWidth="1"/>
    <col min="3611" max="3611" width="10.140625" style="4" customWidth="1"/>
    <col min="3612" max="3612" width="9.140625" style="4" customWidth="1"/>
    <col min="3613" max="3613" width="9" style="4" customWidth="1"/>
    <col min="3614" max="3614" width="10.140625" style="4" customWidth="1"/>
    <col min="3615" max="3615" width="9.28515625" style="4" customWidth="1"/>
    <col min="3616" max="3616" width="9" style="4" customWidth="1"/>
    <col min="3617" max="3618" width="10.28515625" style="4" customWidth="1"/>
    <col min="3619" max="3619" width="10.140625" style="4" customWidth="1"/>
    <col min="3620" max="3620" width="10.28515625" style="4" customWidth="1"/>
    <col min="3621" max="3621" width="10.140625" style="4" customWidth="1"/>
    <col min="3622" max="3622" width="9.140625" style="4" customWidth="1"/>
    <col min="3623" max="3623" width="9" style="4" customWidth="1"/>
    <col min="3624" max="3624" width="10.140625" style="4" customWidth="1"/>
    <col min="3625" max="3625" width="9.28515625" style="4" customWidth="1"/>
    <col min="3626" max="3626" width="9" style="4" customWidth="1"/>
    <col min="3627" max="3628" width="10.28515625" style="4" customWidth="1"/>
    <col min="3629" max="3629" width="10.140625" style="4" customWidth="1"/>
    <col min="3630" max="3630" width="10.28515625" style="4" customWidth="1"/>
    <col min="3631" max="3631" width="10.140625" style="4" customWidth="1"/>
    <col min="3632" max="3632" width="38.28515625" style="4" customWidth="1"/>
    <col min="3633" max="3633" width="34.5703125" style="4" customWidth="1"/>
    <col min="3634" max="3634" width="30.28515625" style="4" customWidth="1"/>
    <col min="3635" max="3635" width="12.5703125" style="4" customWidth="1"/>
    <col min="3636" max="3642" width="11.42578125" style="4"/>
    <col min="3643" max="3643" width="34.28515625" style="4" customWidth="1"/>
    <col min="3644" max="3840" width="11.42578125" style="4"/>
    <col min="3841" max="3841" width="19.42578125" style="4" bestFit="1" customWidth="1"/>
    <col min="3842" max="3842" width="23.28515625" style="4" bestFit="1" customWidth="1"/>
    <col min="3843" max="3843" width="35.5703125" style="4" bestFit="1" customWidth="1"/>
    <col min="3844" max="3844" width="42.42578125" style="4" customWidth="1"/>
    <col min="3845" max="3845" width="27.5703125" style="4" customWidth="1"/>
    <col min="3846" max="3846" width="18.28515625" style="4" customWidth="1"/>
    <col min="3847" max="3847" width="25.5703125" style="4" customWidth="1"/>
    <col min="3848" max="3848" width="26.5703125" style="4" customWidth="1"/>
    <col min="3849" max="3849" width="31.42578125" style="4" customWidth="1"/>
    <col min="3850" max="3850" width="26.5703125" style="4" customWidth="1"/>
    <col min="3851" max="3851" width="17.42578125" style="4" bestFit="1" customWidth="1"/>
    <col min="3852" max="3852" width="10.28515625" style="4" customWidth="1"/>
    <col min="3853" max="3853" width="19" style="4" customWidth="1"/>
    <col min="3854" max="3854" width="16" style="4" customWidth="1"/>
    <col min="3855" max="3856" width="13.5703125" style="4" customWidth="1"/>
    <col min="3857" max="3857" width="20.28515625" style="4" customWidth="1"/>
    <col min="3858" max="3858" width="9.140625" style="4" customWidth="1"/>
    <col min="3859" max="3859" width="9" style="4" customWidth="1"/>
    <col min="3860" max="3860" width="10.140625" style="4" customWidth="1"/>
    <col min="3861" max="3861" width="9.28515625" style="4" customWidth="1"/>
    <col min="3862" max="3862" width="9" style="4" customWidth="1"/>
    <col min="3863" max="3864" width="10.28515625" style="4" customWidth="1"/>
    <col min="3865" max="3865" width="10.140625" style="4" customWidth="1"/>
    <col min="3866" max="3866" width="10.28515625" style="4" customWidth="1"/>
    <col min="3867" max="3867" width="10.140625" style="4" customWidth="1"/>
    <col min="3868" max="3868" width="9.140625" style="4" customWidth="1"/>
    <col min="3869" max="3869" width="9" style="4" customWidth="1"/>
    <col min="3870" max="3870" width="10.140625" style="4" customWidth="1"/>
    <col min="3871" max="3871" width="9.28515625" style="4" customWidth="1"/>
    <col min="3872" max="3872" width="9" style="4" customWidth="1"/>
    <col min="3873" max="3874" width="10.28515625" style="4" customWidth="1"/>
    <col min="3875" max="3875" width="10.140625" style="4" customWidth="1"/>
    <col min="3876" max="3876" width="10.28515625" style="4" customWidth="1"/>
    <col min="3877" max="3877" width="10.140625" style="4" customWidth="1"/>
    <col min="3878" max="3878" width="9.140625" style="4" customWidth="1"/>
    <col min="3879" max="3879" width="9" style="4" customWidth="1"/>
    <col min="3880" max="3880" width="10.140625" style="4" customWidth="1"/>
    <col min="3881" max="3881" width="9.28515625" style="4" customWidth="1"/>
    <col min="3882" max="3882" width="9" style="4" customWidth="1"/>
    <col min="3883" max="3884" width="10.28515625" style="4" customWidth="1"/>
    <col min="3885" max="3885" width="10.140625" style="4" customWidth="1"/>
    <col min="3886" max="3886" width="10.28515625" style="4" customWidth="1"/>
    <col min="3887" max="3887" width="10.140625" style="4" customWidth="1"/>
    <col min="3888" max="3888" width="38.28515625" style="4" customWidth="1"/>
    <col min="3889" max="3889" width="34.5703125" style="4" customWidth="1"/>
    <col min="3890" max="3890" width="30.28515625" style="4" customWidth="1"/>
    <col min="3891" max="3891" width="12.5703125" style="4" customWidth="1"/>
    <col min="3892" max="3898" width="11.42578125" style="4"/>
    <col min="3899" max="3899" width="34.28515625" style="4" customWidth="1"/>
    <col min="3900" max="4096" width="11.42578125" style="4"/>
    <col min="4097" max="4097" width="19.42578125" style="4" bestFit="1" customWidth="1"/>
    <col min="4098" max="4098" width="23.28515625" style="4" bestFit="1" customWidth="1"/>
    <col min="4099" max="4099" width="35.5703125" style="4" bestFit="1" customWidth="1"/>
    <col min="4100" max="4100" width="42.42578125" style="4" customWidth="1"/>
    <col min="4101" max="4101" width="27.5703125" style="4" customWidth="1"/>
    <col min="4102" max="4102" width="18.28515625" style="4" customWidth="1"/>
    <col min="4103" max="4103" width="25.5703125" style="4" customWidth="1"/>
    <col min="4104" max="4104" width="26.5703125" style="4" customWidth="1"/>
    <col min="4105" max="4105" width="31.42578125" style="4" customWidth="1"/>
    <col min="4106" max="4106" width="26.5703125" style="4" customWidth="1"/>
    <col min="4107" max="4107" width="17.42578125" style="4" bestFit="1" customWidth="1"/>
    <col min="4108" max="4108" width="10.28515625" style="4" customWidth="1"/>
    <col min="4109" max="4109" width="19" style="4" customWidth="1"/>
    <col min="4110" max="4110" width="16" style="4" customWidth="1"/>
    <col min="4111" max="4112" width="13.5703125" style="4" customWidth="1"/>
    <col min="4113" max="4113" width="20.28515625" style="4" customWidth="1"/>
    <col min="4114" max="4114" width="9.140625" style="4" customWidth="1"/>
    <col min="4115" max="4115" width="9" style="4" customWidth="1"/>
    <col min="4116" max="4116" width="10.140625" style="4" customWidth="1"/>
    <col min="4117" max="4117" width="9.28515625" style="4" customWidth="1"/>
    <col min="4118" max="4118" width="9" style="4" customWidth="1"/>
    <col min="4119" max="4120" width="10.28515625" style="4" customWidth="1"/>
    <col min="4121" max="4121" width="10.140625" style="4" customWidth="1"/>
    <col min="4122" max="4122" width="10.28515625" style="4" customWidth="1"/>
    <col min="4123" max="4123" width="10.140625" style="4" customWidth="1"/>
    <col min="4124" max="4124" width="9.140625" style="4" customWidth="1"/>
    <col min="4125" max="4125" width="9" style="4" customWidth="1"/>
    <col min="4126" max="4126" width="10.140625" style="4" customWidth="1"/>
    <col min="4127" max="4127" width="9.28515625" style="4" customWidth="1"/>
    <col min="4128" max="4128" width="9" style="4" customWidth="1"/>
    <col min="4129" max="4130" width="10.28515625" style="4" customWidth="1"/>
    <col min="4131" max="4131" width="10.140625" style="4" customWidth="1"/>
    <col min="4132" max="4132" width="10.28515625" style="4" customWidth="1"/>
    <col min="4133" max="4133" width="10.140625" style="4" customWidth="1"/>
    <col min="4134" max="4134" width="9.140625" style="4" customWidth="1"/>
    <col min="4135" max="4135" width="9" style="4" customWidth="1"/>
    <col min="4136" max="4136" width="10.140625" style="4" customWidth="1"/>
    <col min="4137" max="4137" width="9.28515625" style="4" customWidth="1"/>
    <col min="4138" max="4138" width="9" style="4" customWidth="1"/>
    <col min="4139" max="4140" width="10.28515625" style="4" customWidth="1"/>
    <col min="4141" max="4141" width="10.140625" style="4" customWidth="1"/>
    <col min="4142" max="4142" width="10.28515625" style="4" customWidth="1"/>
    <col min="4143" max="4143" width="10.140625" style="4" customWidth="1"/>
    <col min="4144" max="4144" width="38.28515625" style="4" customWidth="1"/>
    <col min="4145" max="4145" width="34.5703125" style="4" customWidth="1"/>
    <col min="4146" max="4146" width="30.28515625" style="4" customWidth="1"/>
    <col min="4147" max="4147" width="12.5703125" style="4" customWidth="1"/>
    <col min="4148" max="4154" width="11.42578125" style="4"/>
    <col min="4155" max="4155" width="34.28515625" style="4" customWidth="1"/>
    <col min="4156" max="4352" width="11.42578125" style="4"/>
    <col min="4353" max="4353" width="19.42578125" style="4" bestFit="1" customWidth="1"/>
    <col min="4354" max="4354" width="23.28515625" style="4" bestFit="1" customWidth="1"/>
    <col min="4355" max="4355" width="35.5703125" style="4" bestFit="1" customWidth="1"/>
    <col min="4356" max="4356" width="42.42578125" style="4" customWidth="1"/>
    <col min="4357" max="4357" width="27.5703125" style="4" customWidth="1"/>
    <col min="4358" max="4358" width="18.28515625" style="4" customWidth="1"/>
    <col min="4359" max="4359" width="25.5703125" style="4" customWidth="1"/>
    <col min="4360" max="4360" width="26.5703125" style="4" customWidth="1"/>
    <col min="4361" max="4361" width="31.42578125" style="4" customWidth="1"/>
    <col min="4362" max="4362" width="26.5703125" style="4" customWidth="1"/>
    <col min="4363" max="4363" width="17.42578125" style="4" bestFit="1" customWidth="1"/>
    <col min="4364" max="4364" width="10.28515625" style="4" customWidth="1"/>
    <col min="4365" max="4365" width="19" style="4" customWidth="1"/>
    <col min="4366" max="4366" width="16" style="4" customWidth="1"/>
    <col min="4367" max="4368" width="13.5703125" style="4" customWidth="1"/>
    <col min="4369" max="4369" width="20.28515625" style="4" customWidth="1"/>
    <col min="4370" max="4370" width="9.140625" style="4" customWidth="1"/>
    <col min="4371" max="4371" width="9" style="4" customWidth="1"/>
    <col min="4372" max="4372" width="10.140625" style="4" customWidth="1"/>
    <col min="4373" max="4373" width="9.28515625" style="4" customWidth="1"/>
    <col min="4374" max="4374" width="9" style="4" customWidth="1"/>
    <col min="4375" max="4376" width="10.28515625" style="4" customWidth="1"/>
    <col min="4377" max="4377" width="10.140625" style="4" customWidth="1"/>
    <col min="4378" max="4378" width="10.28515625" style="4" customWidth="1"/>
    <col min="4379" max="4379" width="10.140625" style="4" customWidth="1"/>
    <col min="4380" max="4380" width="9.140625" style="4" customWidth="1"/>
    <col min="4381" max="4381" width="9" style="4" customWidth="1"/>
    <col min="4382" max="4382" width="10.140625" style="4" customWidth="1"/>
    <col min="4383" max="4383" width="9.28515625" style="4" customWidth="1"/>
    <col min="4384" max="4384" width="9" style="4" customWidth="1"/>
    <col min="4385" max="4386" width="10.28515625" style="4" customWidth="1"/>
    <col min="4387" max="4387" width="10.140625" style="4" customWidth="1"/>
    <col min="4388" max="4388" width="10.28515625" style="4" customWidth="1"/>
    <col min="4389" max="4389" width="10.140625" style="4" customWidth="1"/>
    <col min="4390" max="4390" width="9.140625" style="4" customWidth="1"/>
    <col min="4391" max="4391" width="9" style="4" customWidth="1"/>
    <col min="4392" max="4392" width="10.140625" style="4" customWidth="1"/>
    <col min="4393" max="4393" width="9.28515625" style="4" customWidth="1"/>
    <col min="4394" max="4394" width="9" style="4" customWidth="1"/>
    <col min="4395" max="4396" width="10.28515625" style="4" customWidth="1"/>
    <col min="4397" max="4397" width="10.140625" style="4" customWidth="1"/>
    <col min="4398" max="4398" width="10.28515625" style="4" customWidth="1"/>
    <col min="4399" max="4399" width="10.140625" style="4" customWidth="1"/>
    <col min="4400" max="4400" width="38.28515625" style="4" customWidth="1"/>
    <col min="4401" max="4401" width="34.5703125" style="4" customWidth="1"/>
    <col min="4402" max="4402" width="30.28515625" style="4" customWidth="1"/>
    <col min="4403" max="4403" width="12.5703125" style="4" customWidth="1"/>
    <col min="4404" max="4410" width="11.42578125" style="4"/>
    <col min="4411" max="4411" width="34.28515625" style="4" customWidth="1"/>
    <col min="4412" max="4608" width="11.42578125" style="4"/>
    <col min="4609" max="4609" width="19.42578125" style="4" bestFit="1" customWidth="1"/>
    <col min="4610" max="4610" width="23.28515625" style="4" bestFit="1" customWidth="1"/>
    <col min="4611" max="4611" width="35.5703125" style="4" bestFit="1" customWidth="1"/>
    <col min="4612" max="4612" width="42.42578125" style="4" customWidth="1"/>
    <col min="4613" max="4613" width="27.5703125" style="4" customWidth="1"/>
    <col min="4614" max="4614" width="18.28515625" style="4" customWidth="1"/>
    <col min="4615" max="4615" width="25.5703125" style="4" customWidth="1"/>
    <col min="4616" max="4616" width="26.5703125" style="4" customWidth="1"/>
    <col min="4617" max="4617" width="31.42578125" style="4" customWidth="1"/>
    <col min="4618" max="4618" width="26.5703125" style="4" customWidth="1"/>
    <col min="4619" max="4619" width="17.42578125" style="4" bestFit="1" customWidth="1"/>
    <col min="4620" max="4620" width="10.28515625" style="4" customWidth="1"/>
    <col min="4621" max="4621" width="19" style="4" customWidth="1"/>
    <col min="4622" max="4622" width="16" style="4" customWidth="1"/>
    <col min="4623" max="4624" width="13.5703125" style="4" customWidth="1"/>
    <col min="4625" max="4625" width="20.28515625" style="4" customWidth="1"/>
    <col min="4626" max="4626" width="9.140625" style="4" customWidth="1"/>
    <col min="4627" max="4627" width="9" style="4" customWidth="1"/>
    <col min="4628" max="4628" width="10.140625" style="4" customWidth="1"/>
    <col min="4629" max="4629" width="9.28515625" style="4" customWidth="1"/>
    <col min="4630" max="4630" width="9" style="4" customWidth="1"/>
    <col min="4631" max="4632" width="10.28515625" style="4" customWidth="1"/>
    <col min="4633" max="4633" width="10.140625" style="4" customWidth="1"/>
    <col min="4634" max="4634" width="10.28515625" style="4" customWidth="1"/>
    <col min="4635" max="4635" width="10.140625" style="4" customWidth="1"/>
    <col min="4636" max="4636" width="9.140625" style="4" customWidth="1"/>
    <col min="4637" max="4637" width="9" style="4" customWidth="1"/>
    <col min="4638" max="4638" width="10.140625" style="4" customWidth="1"/>
    <col min="4639" max="4639" width="9.28515625" style="4" customWidth="1"/>
    <col min="4640" max="4640" width="9" style="4" customWidth="1"/>
    <col min="4641" max="4642" width="10.28515625" style="4" customWidth="1"/>
    <col min="4643" max="4643" width="10.140625" style="4" customWidth="1"/>
    <col min="4644" max="4644" width="10.28515625" style="4" customWidth="1"/>
    <col min="4645" max="4645" width="10.140625" style="4" customWidth="1"/>
    <col min="4646" max="4646" width="9.140625" style="4" customWidth="1"/>
    <col min="4647" max="4647" width="9" style="4" customWidth="1"/>
    <col min="4648" max="4648" width="10.140625" style="4" customWidth="1"/>
    <col min="4649" max="4649" width="9.28515625" style="4" customWidth="1"/>
    <col min="4650" max="4650" width="9" style="4" customWidth="1"/>
    <col min="4651" max="4652" width="10.28515625" style="4" customWidth="1"/>
    <col min="4653" max="4653" width="10.140625" style="4" customWidth="1"/>
    <col min="4654" max="4654" width="10.28515625" style="4" customWidth="1"/>
    <col min="4655" max="4655" width="10.140625" style="4" customWidth="1"/>
    <col min="4656" max="4656" width="38.28515625" style="4" customWidth="1"/>
    <col min="4657" max="4657" width="34.5703125" style="4" customWidth="1"/>
    <col min="4658" max="4658" width="30.28515625" style="4" customWidth="1"/>
    <col min="4659" max="4659" width="12.5703125" style="4" customWidth="1"/>
    <col min="4660" max="4666" width="11.42578125" style="4"/>
    <col min="4667" max="4667" width="34.28515625" style="4" customWidth="1"/>
    <col min="4668" max="4864" width="11.42578125" style="4"/>
    <col min="4865" max="4865" width="19.42578125" style="4" bestFit="1" customWidth="1"/>
    <col min="4866" max="4866" width="23.28515625" style="4" bestFit="1" customWidth="1"/>
    <col min="4867" max="4867" width="35.5703125" style="4" bestFit="1" customWidth="1"/>
    <col min="4868" max="4868" width="42.42578125" style="4" customWidth="1"/>
    <col min="4869" max="4869" width="27.5703125" style="4" customWidth="1"/>
    <col min="4870" max="4870" width="18.28515625" style="4" customWidth="1"/>
    <col min="4871" max="4871" width="25.5703125" style="4" customWidth="1"/>
    <col min="4872" max="4872" width="26.5703125" style="4" customWidth="1"/>
    <col min="4873" max="4873" width="31.42578125" style="4" customWidth="1"/>
    <col min="4874" max="4874" width="26.5703125" style="4" customWidth="1"/>
    <col min="4875" max="4875" width="17.42578125" style="4" bestFit="1" customWidth="1"/>
    <col min="4876" max="4876" width="10.28515625" style="4" customWidth="1"/>
    <col min="4877" max="4877" width="19" style="4" customWidth="1"/>
    <col min="4878" max="4878" width="16" style="4" customWidth="1"/>
    <col min="4879" max="4880" width="13.5703125" style="4" customWidth="1"/>
    <col min="4881" max="4881" width="20.28515625" style="4" customWidth="1"/>
    <col min="4882" max="4882" width="9.140625" style="4" customWidth="1"/>
    <col min="4883" max="4883" width="9" style="4" customWidth="1"/>
    <col min="4884" max="4884" width="10.140625" style="4" customWidth="1"/>
    <col min="4885" max="4885" width="9.28515625" style="4" customWidth="1"/>
    <col min="4886" max="4886" width="9" style="4" customWidth="1"/>
    <col min="4887" max="4888" width="10.28515625" style="4" customWidth="1"/>
    <col min="4889" max="4889" width="10.140625" style="4" customWidth="1"/>
    <col min="4890" max="4890" width="10.28515625" style="4" customWidth="1"/>
    <col min="4891" max="4891" width="10.140625" style="4" customWidth="1"/>
    <col min="4892" max="4892" width="9.140625" style="4" customWidth="1"/>
    <col min="4893" max="4893" width="9" style="4" customWidth="1"/>
    <col min="4894" max="4894" width="10.140625" style="4" customWidth="1"/>
    <col min="4895" max="4895" width="9.28515625" style="4" customWidth="1"/>
    <col min="4896" max="4896" width="9" style="4" customWidth="1"/>
    <col min="4897" max="4898" width="10.28515625" style="4" customWidth="1"/>
    <col min="4899" max="4899" width="10.140625" style="4" customWidth="1"/>
    <col min="4900" max="4900" width="10.28515625" style="4" customWidth="1"/>
    <col min="4901" max="4901" width="10.140625" style="4" customWidth="1"/>
    <col min="4902" max="4902" width="9.140625" style="4" customWidth="1"/>
    <col min="4903" max="4903" width="9" style="4" customWidth="1"/>
    <col min="4904" max="4904" width="10.140625" style="4" customWidth="1"/>
    <col min="4905" max="4905" width="9.28515625" style="4" customWidth="1"/>
    <col min="4906" max="4906" width="9" style="4" customWidth="1"/>
    <col min="4907" max="4908" width="10.28515625" style="4" customWidth="1"/>
    <col min="4909" max="4909" width="10.140625" style="4" customWidth="1"/>
    <col min="4910" max="4910" width="10.28515625" style="4" customWidth="1"/>
    <col min="4911" max="4911" width="10.140625" style="4" customWidth="1"/>
    <col min="4912" max="4912" width="38.28515625" style="4" customWidth="1"/>
    <col min="4913" max="4913" width="34.5703125" style="4" customWidth="1"/>
    <col min="4914" max="4914" width="30.28515625" style="4" customWidth="1"/>
    <col min="4915" max="4915" width="12.5703125" style="4" customWidth="1"/>
    <col min="4916" max="4922" width="11.42578125" style="4"/>
    <col min="4923" max="4923" width="34.28515625" style="4" customWidth="1"/>
    <col min="4924" max="5120" width="11.42578125" style="4"/>
    <col min="5121" max="5121" width="19.42578125" style="4" bestFit="1" customWidth="1"/>
    <col min="5122" max="5122" width="23.28515625" style="4" bestFit="1" customWidth="1"/>
    <col min="5123" max="5123" width="35.5703125" style="4" bestFit="1" customWidth="1"/>
    <col min="5124" max="5124" width="42.42578125" style="4" customWidth="1"/>
    <col min="5125" max="5125" width="27.5703125" style="4" customWidth="1"/>
    <col min="5126" max="5126" width="18.28515625" style="4" customWidth="1"/>
    <col min="5127" max="5127" width="25.5703125" style="4" customWidth="1"/>
    <col min="5128" max="5128" width="26.5703125" style="4" customWidth="1"/>
    <col min="5129" max="5129" width="31.42578125" style="4" customWidth="1"/>
    <col min="5130" max="5130" width="26.5703125" style="4" customWidth="1"/>
    <col min="5131" max="5131" width="17.42578125" style="4" bestFit="1" customWidth="1"/>
    <col min="5132" max="5132" width="10.28515625" style="4" customWidth="1"/>
    <col min="5133" max="5133" width="19" style="4" customWidth="1"/>
    <col min="5134" max="5134" width="16" style="4" customWidth="1"/>
    <col min="5135" max="5136" width="13.5703125" style="4" customWidth="1"/>
    <col min="5137" max="5137" width="20.28515625" style="4" customWidth="1"/>
    <col min="5138" max="5138" width="9.140625" style="4" customWidth="1"/>
    <col min="5139" max="5139" width="9" style="4" customWidth="1"/>
    <col min="5140" max="5140" width="10.140625" style="4" customWidth="1"/>
    <col min="5141" max="5141" width="9.28515625" style="4" customWidth="1"/>
    <col min="5142" max="5142" width="9" style="4" customWidth="1"/>
    <col min="5143" max="5144" width="10.28515625" style="4" customWidth="1"/>
    <col min="5145" max="5145" width="10.140625" style="4" customWidth="1"/>
    <col min="5146" max="5146" width="10.28515625" style="4" customWidth="1"/>
    <col min="5147" max="5147" width="10.140625" style="4" customWidth="1"/>
    <col min="5148" max="5148" width="9.140625" style="4" customWidth="1"/>
    <col min="5149" max="5149" width="9" style="4" customWidth="1"/>
    <col min="5150" max="5150" width="10.140625" style="4" customWidth="1"/>
    <col min="5151" max="5151" width="9.28515625" style="4" customWidth="1"/>
    <col min="5152" max="5152" width="9" style="4" customWidth="1"/>
    <col min="5153" max="5154" width="10.28515625" style="4" customWidth="1"/>
    <col min="5155" max="5155" width="10.140625" style="4" customWidth="1"/>
    <col min="5156" max="5156" width="10.28515625" style="4" customWidth="1"/>
    <col min="5157" max="5157" width="10.140625" style="4" customWidth="1"/>
    <col min="5158" max="5158" width="9.140625" style="4" customWidth="1"/>
    <col min="5159" max="5159" width="9" style="4" customWidth="1"/>
    <col min="5160" max="5160" width="10.140625" style="4" customWidth="1"/>
    <col min="5161" max="5161" width="9.28515625" style="4" customWidth="1"/>
    <col min="5162" max="5162" width="9" style="4" customWidth="1"/>
    <col min="5163" max="5164" width="10.28515625" style="4" customWidth="1"/>
    <col min="5165" max="5165" width="10.140625" style="4" customWidth="1"/>
    <col min="5166" max="5166" width="10.28515625" style="4" customWidth="1"/>
    <col min="5167" max="5167" width="10.140625" style="4" customWidth="1"/>
    <col min="5168" max="5168" width="38.28515625" style="4" customWidth="1"/>
    <col min="5169" max="5169" width="34.5703125" style="4" customWidth="1"/>
    <col min="5170" max="5170" width="30.28515625" style="4" customWidth="1"/>
    <col min="5171" max="5171" width="12.5703125" style="4" customWidth="1"/>
    <col min="5172" max="5178" width="11.42578125" style="4"/>
    <col min="5179" max="5179" width="34.28515625" style="4" customWidth="1"/>
    <col min="5180" max="5376" width="11.42578125" style="4"/>
    <col min="5377" max="5377" width="19.42578125" style="4" bestFit="1" customWidth="1"/>
    <col min="5378" max="5378" width="23.28515625" style="4" bestFit="1" customWidth="1"/>
    <col min="5379" max="5379" width="35.5703125" style="4" bestFit="1" customWidth="1"/>
    <col min="5380" max="5380" width="42.42578125" style="4" customWidth="1"/>
    <col min="5381" max="5381" width="27.5703125" style="4" customWidth="1"/>
    <col min="5382" max="5382" width="18.28515625" style="4" customWidth="1"/>
    <col min="5383" max="5383" width="25.5703125" style="4" customWidth="1"/>
    <col min="5384" max="5384" width="26.5703125" style="4" customWidth="1"/>
    <col min="5385" max="5385" width="31.42578125" style="4" customWidth="1"/>
    <col min="5386" max="5386" width="26.5703125" style="4" customWidth="1"/>
    <col min="5387" max="5387" width="17.42578125" style="4" bestFit="1" customWidth="1"/>
    <col min="5388" max="5388" width="10.28515625" style="4" customWidth="1"/>
    <col min="5389" max="5389" width="19" style="4" customWidth="1"/>
    <col min="5390" max="5390" width="16" style="4" customWidth="1"/>
    <col min="5391" max="5392" width="13.5703125" style="4" customWidth="1"/>
    <col min="5393" max="5393" width="20.28515625" style="4" customWidth="1"/>
    <col min="5394" max="5394" width="9.140625" style="4" customWidth="1"/>
    <col min="5395" max="5395" width="9" style="4" customWidth="1"/>
    <col min="5396" max="5396" width="10.140625" style="4" customWidth="1"/>
    <col min="5397" max="5397" width="9.28515625" style="4" customWidth="1"/>
    <col min="5398" max="5398" width="9" style="4" customWidth="1"/>
    <col min="5399" max="5400" width="10.28515625" style="4" customWidth="1"/>
    <col min="5401" max="5401" width="10.140625" style="4" customWidth="1"/>
    <col min="5402" max="5402" width="10.28515625" style="4" customWidth="1"/>
    <col min="5403" max="5403" width="10.140625" style="4" customWidth="1"/>
    <col min="5404" max="5404" width="9.140625" style="4" customWidth="1"/>
    <col min="5405" max="5405" width="9" style="4" customWidth="1"/>
    <col min="5406" max="5406" width="10.140625" style="4" customWidth="1"/>
    <col min="5407" max="5407" width="9.28515625" style="4" customWidth="1"/>
    <col min="5408" max="5408" width="9" style="4" customWidth="1"/>
    <col min="5409" max="5410" width="10.28515625" style="4" customWidth="1"/>
    <col min="5411" max="5411" width="10.140625" style="4" customWidth="1"/>
    <col min="5412" max="5412" width="10.28515625" style="4" customWidth="1"/>
    <col min="5413" max="5413" width="10.140625" style="4" customWidth="1"/>
    <col min="5414" max="5414" width="9.140625" style="4" customWidth="1"/>
    <col min="5415" max="5415" width="9" style="4" customWidth="1"/>
    <col min="5416" max="5416" width="10.140625" style="4" customWidth="1"/>
    <col min="5417" max="5417" width="9.28515625" style="4" customWidth="1"/>
    <col min="5418" max="5418" width="9" style="4" customWidth="1"/>
    <col min="5419" max="5420" width="10.28515625" style="4" customWidth="1"/>
    <col min="5421" max="5421" width="10.140625" style="4" customWidth="1"/>
    <col min="5422" max="5422" width="10.28515625" style="4" customWidth="1"/>
    <col min="5423" max="5423" width="10.140625" style="4" customWidth="1"/>
    <col min="5424" max="5424" width="38.28515625" style="4" customWidth="1"/>
    <col min="5425" max="5425" width="34.5703125" style="4" customWidth="1"/>
    <col min="5426" max="5426" width="30.28515625" style="4" customWidth="1"/>
    <col min="5427" max="5427" width="12.5703125" style="4" customWidth="1"/>
    <col min="5428" max="5434" width="11.42578125" style="4"/>
    <col min="5435" max="5435" width="34.28515625" style="4" customWidth="1"/>
    <col min="5436" max="5632" width="11.42578125" style="4"/>
    <col min="5633" max="5633" width="19.42578125" style="4" bestFit="1" customWidth="1"/>
    <col min="5634" max="5634" width="23.28515625" style="4" bestFit="1" customWidth="1"/>
    <col min="5635" max="5635" width="35.5703125" style="4" bestFit="1" customWidth="1"/>
    <col min="5636" max="5636" width="42.42578125" style="4" customWidth="1"/>
    <col min="5637" max="5637" width="27.5703125" style="4" customWidth="1"/>
    <col min="5638" max="5638" width="18.28515625" style="4" customWidth="1"/>
    <col min="5639" max="5639" width="25.5703125" style="4" customWidth="1"/>
    <col min="5640" max="5640" width="26.5703125" style="4" customWidth="1"/>
    <col min="5641" max="5641" width="31.42578125" style="4" customWidth="1"/>
    <col min="5642" max="5642" width="26.5703125" style="4" customWidth="1"/>
    <col min="5643" max="5643" width="17.42578125" style="4" bestFit="1" customWidth="1"/>
    <col min="5644" max="5644" width="10.28515625" style="4" customWidth="1"/>
    <col min="5645" max="5645" width="19" style="4" customWidth="1"/>
    <col min="5646" max="5646" width="16" style="4" customWidth="1"/>
    <col min="5647" max="5648" width="13.5703125" style="4" customWidth="1"/>
    <col min="5649" max="5649" width="20.28515625" style="4" customWidth="1"/>
    <col min="5650" max="5650" width="9.140625" style="4" customWidth="1"/>
    <col min="5651" max="5651" width="9" style="4" customWidth="1"/>
    <col min="5652" max="5652" width="10.140625" style="4" customWidth="1"/>
    <col min="5653" max="5653" width="9.28515625" style="4" customWidth="1"/>
    <col min="5654" max="5654" width="9" style="4" customWidth="1"/>
    <col min="5655" max="5656" width="10.28515625" style="4" customWidth="1"/>
    <col min="5657" max="5657" width="10.140625" style="4" customWidth="1"/>
    <col min="5658" max="5658" width="10.28515625" style="4" customWidth="1"/>
    <col min="5659" max="5659" width="10.140625" style="4" customWidth="1"/>
    <col min="5660" max="5660" width="9.140625" style="4" customWidth="1"/>
    <col min="5661" max="5661" width="9" style="4" customWidth="1"/>
    <col min="5662" max="5662" width="10.140625" style="4" customWidth="1"/>
    <col min="5663" max="5663" width="9.28515625" style="4" customWidth="1"/>
    <col min="5664" max="5664" width="9" style="4" customWidth="1"/>
    <col min="5665" max="5666" width="10.28515625" style="4" customWidth="1"/>
    <col min="5667" max="5667" width="10.140625" style="4" customWidth="1"/>
    <col min="5668" max="5668" width="10.28515625" style="4" customWidth="1"/>
    <col min="5669" max="5669" width="10.140625" style="4" customWidth="1"/>
    <col min="5670" max="5670" width="9.140625" style="4" customWidth="1"/>
    <col min="5671" max="5671" width="9" style="4" customWidth="1"/>
    <col min="5672" max="5672" width="10.140625" style="4" customWidth="1"/>
    <col min="5673" max="5673" width="9.28515625" style="4" customWidth="1"/>
    <col min="5674" max="5674" width="9" style="4" customWidth="1"/>
    <col min="5675" max="5676" width="10.28515625" style="4" customWidth="1"/>
    <col min="5677" max="5677" width="10.140625" style="4" customWidth="1"/>
    <col min="5678" max="5678" width="10.28515625" style="4" customWidth="1"/>
    <col min="5679" max="5679" width="10.140625" style="4" customWidth="1"/>
    <col min="5680" max="5680" width="38.28515625" style="4" customWidth="1"/>
    <col min="5681" max="5681" width="34.5703125" style="4" customWidth="1"/>
    <col min="5682" max="5682" width="30.28515625" style="4" customWidth="1"/>
    <col min="5683" max="5683" width="12.5703125" style="4" customWidth="1"/>
    <col min="5684" max="5690" width="11.42578125" style="4"/>
    <col min="5691" max="5691" width="34.28515625" style="4" customWidth="1"/>
    <col min="5692" max="5888" width="11.42578125" style="4"/>
    <col min="5889" max="5889" width="19.42578125" style="4" bestFit="1" customWidth="1"/>
    <col min="5890" max="5890" width="23.28515625" style="4" bestFit="1" customWidth="1"/>
    <col min="5891" max="5891" width="35.5703125" style="4" bestFit="1" customWidth="1"/>
    <col min="5892" max="5892" width="42.42578125" style="4" customWidth="1"/>
    <col min="5893" max="5893" width="27.5703125" style="4" customWidth="1"/>
    <col min="5894" max="5894" width="18.28515625" style="4" customWidth="1"/>
    <col min="5895" max="5895" width="25.5703125" style="4" customWidth="1"/>
    <col min="5896" max="5896" width="26.5703125" style="4" customWidth="1"/>
    <col min="5897" max="5897" width="31.42578125" style="4" customWidth="1"/>
    <col min="5898" max="5898" width="26.5703125" style="4" customWidth="1"/>
    <col min="5899" max="5899" width="17.42578125" style="4" bestFit="1" customWidth="1"/>
    <col min="5900" max="5900" width="10.28515625" style="4" customWidth="1"/>
    <col min="5901" max="5901" width="19" style="4" customWidth="1"/>
    <col min="5902" max="5902" width="16" style="4" customWidth="1"/>
    <col min="5903" max="5904" width="13.5703125" style="4" customWidth="1"/>
    <col min="5905" max="5905" width="20.28515625" style="4" customWidth="1"/>
    <col min="5906" max="5906" width="9.140625" style="4" customWidth="1"/>
    <col min="5907" max="5907" width="9" style="4" customWidth="1"/>
    <col min="5908" max="5908" width="10.140625" style="4" customWidth="1"/>
    <col min="5909" max="5909" width="9.28515625" style="4" customWidth="1"/>
    <col min="5910" max="5910" width="9" style="4" customWidth="1"/>
    <col min="5911" max="5912" width="10.28515625" style="4" customWidth="1"/>
    <col min="5913" max="5913" width="10.140625" style="4" customWidth="1"/>
    <col min="5914" max="5914" width="10.28515625" style="4" customWidth="1"/>
    <col min="5915" max="5915" width="10.140625" style="4" customWidth="1"/>
    <col min="5916" max="5916" width="9.140625" style="4" customWidth="1"/>
    <col min="5917" max="5917" width="9" style="4" customWidth="1"/>
    <col min="5918" max="5918" width="10.140625" style="4" customWidth="1"/>
    <col min="5919" max="5919" width="9.28515625" style="4" customWidth="1"/>
    <col min="5920" max="5920" width="9" style="4" customWidth="1"/>
    <col min="5921" max="5922" width="10.28515625" style="4" customWidth="1"/>
    <col min="5923" max="5923" width="10.140625" style="4" customWidth="1"/>
    <col min="5924" max="5924" width="10.28515625" style="4" customWidth="1"/>
    <col min="5925" max="5925" width="10.140625" style="4" customWidth="1"/>
    <col min="5926" max="5926" width="9.140625" style="4" customWidth="1"/>
    <col min="5927" max="5927" width="9" style="4" customWidth="1"/>
    <col min="5928" max="5928" width="10.140625" style="4" customWidth="1"/>
    <col min="5929" max="5929" width="9.28515625" style="4" customWidth="1"/>
    <col min="5930" max="5930" width="9" style="4" customWidth="1"/>
    <col min="5931" max="5932" width="10.28515625" style="4" customWidth="1"/>
    <col min="5933" max="5933" width="10.140625" style="4" customWidth="1"/>
    <col min="5934" max="5934" width="10.28515625" style="4" customWidth="1"/>
    <col min="5935" max="5935" width="10.140625" style="4" customWidth="1"/>
    <col min="5936" max="5936" width="38.28515625" style="4" customWidth="1"/>
    <col min="5937" max="5937" width="34.5703125" style="4" customWidth="1"/>
    <col min="5938" max="5938" width="30.28515625" style="4" customWidth="1"/>
    <col min="5939" max="5939" width="12.5703125" style="4" customWidth="1"/>
    <col min="5940" max="5946" width="11.42578125" style="4"/>
    <col min="5947" max="5947" width="34.28515625" style="4" customWidth="1"/>
    <col min="5948" max="6144" width="11.42578125" style="4"/>
    <col min="6145" max="6145" width="19.42578125" style="4" bestFit="1" customWidth="1"/>
    <col min="6146" max="6146" width="23.28515625" style="4" bestFit="1" customWidth="1"/>
    <col min="6147" max="6147" width="35.5703125" style="4" bestFit="1" customWidth="1"/>
    <col min="6148" max="6148" width="42.42578125" style="4" customWidth="1"/>
    <col min="6149" max="6149" width="27.5703125" style="4" customWidth="1"/>
    <col min="6150" max="6150" width="18.28515625" style="4" customWidth="1"/>
    <col min="6151" max="6151" width="25.5703125" style="4" customWidth="1"/>
    <col min="6152" max="6152" width="26.5703125" style="4" customWidth="1"/>
    <col min="6153" max="6153" width="31.42578125" style="4" customWidth="1"/>
    <col min="6154" max="6154" width="26.5703125" style="4" customWidth="1"/>
    <col min="6155" max="6155" width="17.42578125" style="4" bestFit="1" customWidth="1"/>
    <col min="6156" max="6156" width="10.28515625" style="4" customWidth="1"/>
    <col min="6157" max="6157" width="19" style="4" customWidth="1"/>
    <col min="6158" max="6158" width="16" style="4" customWidth="1"/>
    <col min="6159" max="6160" width="13.5703125" style="4" customWidth="1"/>
    <col min="6161" max="6161" width="20.28515625" style="4" customWidth="1"/>
    <col min="6162" max="6162" width="9.140625" style="4" customWidth="1"/>
    <col min="6163" max="6163" width="9" style="4" customWidth="1"/>
    <col min="6164" max="6164" width="10.140625" style="4" customWidth="1"/>
    <col min="6165" max="6165" width="9.28515625" style="4" customWidth="1"/>
    <col min="6166" max="6166" width="9" style="4" customWidth="1"/>
    <col min="6167" max="6168" width="10.28515625" style="4" customWidth="1"/>
    <col min="6169" max="6169" width="10.140625" style="4" customWidth="1"/>
    <col min="6170" max="6170" width="10.28515625" style="4" customWidth="1"/>
    <col min="6171" max="6171" width="10.140625" style="4" customWidth="1"/>
    <col min="6172" max="6172" width="9.140625" style="4" customWidth="1"/>
    <col min="6173" max="6173" width="9" style="4" customWidth="1"/>
    <col min="6174" max="6174" width="10.140625" style="4" customWidth="1"/>
    <col min="6175" max="6175" width="9.28515625" style="4" customWidth="1"/>
    <col min="6176" max="6176" width="9" style="4" customWidth="1"/>
    <col min="6177" max="6178" width="10.28515625" style="4" customWidth="1"/>
    <col min="6179" max="6179" width="10.140625" style="4" customWidth="1"/>
    <col min="6180" max="6180" width="10.28515625" style="4" customWidth="1"/>
    <col min="6181" max="6181" width="10.140625" style="4" customWidth="1"/>
    <col min="6182" max="6182" width="9.140625" style="4" customWidth="1"/>
    <col min="6183" max="6183" width="9" style="4" customWidth="1"/>
    <col min="6184" max="6184" width="10.140625" style="4" customWidth="1"/>
    <col min="6185" max="6185" width="9.28515625" style="4" customWidth="1"/>
    <col min="6186" max="6186" width="9" style="4" customWidth="1"/>
    <col min="6187" max="6188" width="10.28515625" style="4" customWidth="1"/>
    <col min="6189" max="6189" width="10.140625" style="4" customWidth="1"/>
    <col min="6190" max="6190" width="10.28515625" style="4" customWidth="1"/>
    <col min="6191" max="6191" width="10.140625" style="4" customWidth="1"/>
    <col min="6192" max="6192" width="38.28515625" style="4" customWidth="1"/>
    <col min="6193" max="6193" width="34.5703125" style="4" customWidth="1"/>
    <col min="6194" max="6194" width="30.28515625" style="4" customWidth="1"/>
    <col min="6195" max="6195" width="12.5703125" style="4" customWidth="1"/>
    <col min="6196" max="6202" width="11.42578125" style="4"/>
    <col min="6203" max="6203" width="34.28515625" style="4" customWidth="1"/>
    <col min="6204" max="6400" width="11.42578125" style="4"/>
    <col min="6401" max="6401" width="19.42578125" style="4" bestFit="1" customWidth="1"/>
    <col min="6402" max="6402" width="23.28515625" style="4" bestFit="1" customWidth="1"/>
    <col min="6403" max="6403" width="35.5703125" style="4" bestFit="1" customWidth="1"/>
    <col min="6404" max="6404" width="42.42578125" style="4" customWidth="1"/>
    <col min="6405" max="6405" width="27.5703125" style="4" customWidth="1"/>
    <col min="6406" max="6406" width="18.28515625" style="4" customWidth="1"/>
    <col min="6407" max="6407" width="25.5703125" style="4" customWidth="1"/>
    <col min="6408" max="6408" width="26.5703125" style="4" customWidth="1"/>
    <col min="6409" max="6409" width="31.42578125" style="4" customWidth="1"/>
    <col min="6410" max="6410" width="26.5703125" style="4" customWidth="1"/>
    <col min="6411" max="6411" width="17.42578125" style="4" bestFit="1" customWidth="1"/>
    <col min="6412" max="6412" width="10.28515625" style="4" customWidth="1"/>
    <col min="6413" max="6413" width="19" style="4" customWidth="1"/>
    <col min="6414" max="6414" width="16" style="4" customWidth="1"/>
    <col min="6415" max="6416" width="13.5703125" style="4" customWidth="1"/>
    <col min="6417" max="6417" width="20.28515625" style="4" customWidth="1"/>
    <col min="6418" max="6418" width="9.140625" style="4" customWidth="1"/>
    <col min="6419" max="6419" width="9" style="4" customWidth="1"/>
    <col min="6420" max="6420" width="10.140625" style="4" customWidth="1"/>
    <col min="6421" max="6421" width="9.28515625" style="4" customWidth="1"/>
    <col min="6422" max="6422" width="9" style="4" customWidth="1"/>
    <col min="6423" max="6424" width="10.28515625" style="4" customWidth="1"/>
    <col min="6425" max="6425" width="10.140625" style="4" customWidth="1"/>
    <col min="6426" max="6426" width="10.28515625" style="4" customWidth="1"/>
    <col min="6427" max="6427" width="10.140625" style="4" customWidth="1"/>
    <col min="6428" max="6428" width="9.140625" style="4" customWidth="1"/>
    <col min="6429" max="6429" width="9" style="4" customWidth="1"/>
    <col min="6430" max="6430" width="10.140625" style="4" customWidth="1"/>
    <col min="6431" max="6431" width="9.28515625" style="4" customWidth="1"/>
    <col min="6432" max="6432" width="9" style="4" customWidth="1"/>
    <col min="6433" max="6434" width="10.28515625" style="4" customWidth="1"/>
    <col min="6435" max="6435" width="10.140625" style="4" customWidth="1"/>
    <col min="6436" max="6436" width="10.28515625" style="4" customWidth="1"/>
    <col min="6437" max="6437" width="10.140625" style="4" customWidth="1"/>
    <col min="6438" max="6438" width="9.140625" style="4" customWidth="1"/>
    <col min="6439" max="6439" width="9" style="4" customWidth="1"/>
    <col min="6440" max="6440" width="10.140625" style="4" customWidth="1"/>
    <col min="6441" max="6441" width="9.28515625" style="4" customWidth="1"/>
    <col min="6442" max="6442" width="9" style="4" customWidth="1"/>
    <col min="6443" max="6444" width="10.28515625" style="4" customWidth="1"/>
    <col min="6445" max="6445" width="10.140625" style="4" customWidth="1"/>
    <col min="6446" max="6446" width="10.28515625" style="4" customWidth="1"/>
    <col min="6447" max="6447" width="10.140625" style="4" customWidth="1"/>
    <col min="6448" max="6448" width="38.28515625" style="4" customWidth="1"/>
    <col min="6449" max="6449" width="34.5703125" style="4" customWidth="1"/>
    <col min="6450" max="6450" width="30.28515625" style="4" customWidth="1"/>
    <col min="6451" max="6451" width="12.5703125" style="4" customWidth="1"/>
    <col min="6452" max="6458" width="11.42578125" style="4"/>
    <col min="6459" max="6459" width="34.28515625" style="4" customWidth="1"/>
    <col min="6460" max="6656" width="11.42578125" style="4"/>
    <col min="6657" max="6657" width="19.42578125" style="4" bestFit="1" customWidth="1"/>
    <col min="6658" max="6658" width="23.28515625" style="4" bestFit="1" customWidth="1"/>
    <col min="6659" max="6659" width="35.5703125" style="4" bestFit="1" customWidth="1"/>
    <col min="6660" max="6660" width="42.42578125" style="4" customWidth="1"/>
    <col min="6661" max="6661" width="27.5703125" style="4" customWidth="1"/>
    <col min="6662" max="6662" width="18.28515625" style="4" customWidth="1"/>
    <col min="6663" max="6663" width="25.5703125" style="4" customWidth="1"/>
    <col min="6664" max="6664" width="26.5703125" style="4" customWidth="1"/>
    <col min="6665" max="6665" width="31.42578125" style="4" customWidth="1"/>
    <col min="6666" max="6666" width="26.5703125" style="4" customWidth="1"/>
    <col min="6667" max="6667" width="17.42578125" style="4" bestFit="1" customWidth="1"/>
    <col min="6668" max="6668" width="10.28515625" style="4" customWidth="1"/>
    <col min="6669" max="6669" width="19" style="4" customWidth="1"/>
    <col min="6670" max="6670" width="16" style="4" customWidth="1"/>
    <col min="6671" max="6672" width="13.5703125" style="4" customWidth="1"/>
    <col min="6673" max="6673" width="20.28515625" style="4" customWidth="1"/>
    <col min="6674" max="6674" width="9.140625" style="4" customWidth="1"/>
    <col min="6675" max="6675" width="9" style="4" customWidth="1"/>
    <col min="6676" max="6676" width="10.140625" style="4" customWidth="1"/>
    <col min="6677" max="6677" width="9.28515625" style="4" customWidth="1"/>
    <col min="6678" max="6678" width="9" style="4" customWidth="1"/>
    <col min="6679" max="6680" width="10.28515625" style="4" customWidth="1"/>
    <col min="6681" max="6681" width="10.140625" style="4" customWidth="1"/>
    <col min="6682" max="6682" width="10.28515625" style="4" customWidth="1"/>
    <col min="6683" max="6683" width="10.140625" style="4" customWidth="1"/>
    <col min="6684" max="6684" width="9.140625" style="4" customWidth="1"/>
    <col min="6685" max="6685" width="9" style="4" customWidth="1"/>
    <col min="6686" max="6686" width="10.140625" style="4" customWidth="1"/>
    <col min="6687" max="6687" width="9.28515625" style="4" customWidth="1"/>
    <col min="6688" max="6688" width="9" style="4" customWidth="1"/>
    <col min="6689" max="6690" width="10.28515625" style="4" customWidth="1"/>
    <col min="6691" max="6691" width="10.140625" style="4" customWidth="1"/>
    <col min="6692" max="6692" width="10.28515625" style="4" customWidth="1"/>
    <col min="6693" max="6693" width="10.140625" style="4" customWidth="1"/>
    <col min="6694" max="6694" width="9.140625" style="4" customWidth="1"/>
    <col min="6695" max="6695" width="9" style="4" customWidth="1"/>
    <col min="6696" max="6696" width="10.140625" style="4" customWidth="1"/>
    <col min="6697" max="6697" width="9.28515625" style="4" customWidth="1"/>
    <col min="6698" max="6698" width="9" style="4" customWidth="1"/>
    <col min="6699" max="6700" width="10.28515625" style="4" customWidth="1"/>
    <col min="6701" max="6701" width="10.140625" style="4" customWidth="1"/>
    <col min="6702" max="6702" width="10.28515625" style="4" customWidth="1"/>
    <col min="6703" max="6703" width="10.140625" style="4" customWidth="1"/>
    <col min="6704" max="6704" width="38.28515625" style="4" customWidth="1"/>
    <col min="6705" max="6705" width="34.5703125" style="4" customWidth="1"/>
    <col min="6706" max="6706" width="30.28515625" style="4" customWidth="1"/>
    <col min="6707" max="6707" width="12.5703125" style="4" customWidth="1"/>
    <col min="6708" max="6714" width="11.42578125" style="4"/>
    <col min="6715" max="6715" width="34.28515625" style="4" customWidth="1"/>
    <col min="6716" max="6912" width="11.42578125" style="4"/>
    <col min="6913" max="6913" width="19.42578125" style="4" bestFit="1" customWidth="1"/>
    <col min="6914" max="6914" width="23.28515625" style="4" bestFit="1" customWidth="1"/>
    <col min="6915" max="6915" width="35.5703125" style="4" bestFit="1" customWidth="1"/>
    <col min="6916" max="6916" width="42.42578125" style="4" customWidth="1"/>
    <col min="6917" max="6917" width="27.5703125" style="4" customWidth="1"/>
    <col min="6918" max="6918" width="18.28515625" style="4" customWidth="1"/>
    <col min="6919" max="6919" width="25.5703125" style="4" customWidth="1"/>
    <col min="6920" max="6920" width="26.5703125" style="4" customWidth="1"/>
    <col min="6921" max="6921" width="31.42578125" style="4" customWidth="1"/>
    <col min="6922" max="6922" width="26.5703125" style="4" customWidth="1"/>
    <col min="6923" max="6923" width="17.42578125" style="4" bestFit="1" customWidth="1"/>
    <col min="6924" max="6924" width="10.28515625" style="4" customWidth="1"/>
    <col min="6925" max="6925" width="19" style="4" customWidth="1"/>
    <col min="6926" max="6926" width="16" style="4" customWidth="1"/>
    <col min="6927" max="6928" width="13.5703125" style="4" customWidth="1"/>
    <col min="6929" max="6929" width="20.28515625" style="4" customWidth="1"/>
    <col min="6930" max="6930" width="9.140625" style="4" customWidth="1"/>
    <col min="6931" max="6931" width="9" style="4" customWidth="1"/>
    <col min="6932" max="6932" width="10.140625" style="4" customWidth="1"/>
    <col min="6933" max="6933" width="9.28515625" style="4" customWidth="1"/>
    <col min="6934" max="6934" width="9" style="4" customWidth="1"/>
    <col min="6935" max="6936" width="10.28515625" style="4" customWidth="1"/>
    <col min="6937" max="6937" width="10.140625" style="4" customWidth="1"/>
    <col min="6938" max="6938" width="10.28515625" style="4" customWidth="1"/>
    <col min="6939" max="6939" width="10.140625" style="4" customWidth="1"/>
    <col min="6940" max="6940" width="9.140625" style="4" customWidth="1"/>
    <col min="6941" max="6941" width="9" style="4" customWidth="1"/>
    <col min="6942" max="6942" width="10.140625" style="4" customWidth="1"/>
    <col min="6943" max="6943" width="9.28515625" style="4" customWidth="1"/>
    <col min="6944" max="6944" width="9" style="4" customWidth="1"/>
    <col min="6945" max="6946" width="10.28515625" style="4" customWidth="1"/>
    <col min="6947" max="6947" width="10.140625" style="4" customWidth="1"/>
    <col min="6948" max="6948" width="10.28515625" style="4" customWidth="1"/>
    <col min="6949" max="6949" width="10.140625" style="4" customWidth="1"/>
    <col min="6950" max="6950" width="9.140625" style="4" customWidth="1"/>
    <col min="6951" max="6951" width="9" style="4" customWidth="1"/>
    <col min="6952" max="6952" width="10.140625" style="4" customWidth="1"/>
    <col min="6953" max="6953" width="9.28515625" style="4" customWidth="1"/>
    <col min="6954" max="6954" width="9" style="4" customWidth="1"/>
    <col min="6955" max="6956" width="10.28515625" style="4" customWidth="1"/>
    <col min="6957" max="6957" width="10.140625" style="4" customWidth="1"/>
    <col min="6958" max="6958" width="10.28515625" style="4" customWidth="1"/>
    <col min="6959" max="6959" width="10.140625" style="4" customWidth="1"/>
    <col min="6960" max="6960" width="38.28515625" style="4" customWidth="1"/>
    <col min="6961" max="6961" width="34.5703125" style="4" customWidth="1"/>
    <col min="6962" max="6962" width="30.28515625" style="4" customWidth="1"/>
    <col min="6963" max="6963" width="12.5703125" style="4" customWidth="1"/>
    <col min="6964" max="6970" width="11.42578125" style="4"/>
    <col min="6971" max="6971" width="34.28515625" style="4" customWidth="1"/>
    <col min="6972" max="7168" width="11.42578125" style="4"/>
    <col min="7169" max="7169" width="19.42578125" style="4" bestFit="1" customWidth="1"/>
    <col min="7170" max="7170" width="23.28515625" style="4" bestFit="1" customWidth="1"/>
    <col min="7171" max="7171" width="35.5703125" style="4" bestFit="1" customWidth="1"/>
    <col min="7172" max="7172" width="42.42578125" style="4" customWidth="1"/>
    <col min="7173" max="7173" width="27.5703125" style="4" customWidth="1"/>
    <col min="7174" max="7174" width="18.28515625" style="4" customWidth="1"/>
    <col min="7175" max="7175" width="25.5703125" style="4" customWidth="1"/>
    <col min="7176" max="7176" width="26.5703125" style="4" customWidth="1"/>
    <col min="7177" max="7177" width="31.42578125" style="4" customWidth="1"/>
    <col min="7178" max="7178" width="26.5703125" style="4" customWidth="1"/>
    <col min="7179" max="7179" width="17.42578125" style="4" bestFit="1" customWidth="1"/>
    <col min="7180" max="7180" width="10.28515625" style="4" customWidth="1"/>
    <col min="7181" max="7181" width="19" style="4" customWidth="1"/>
    <col min="7182" max="7182" width="16" style="4" customWidth="1"/>
    <col min="7183" max="7184" width="13.5703125" style="4" customWidth="1"/>
    <col min="7185" max="7185" width="20.28515625" style="4" customWidth="1"/>
    <col min="7186" max="7186" width="9.140625" style="4" customWidth="1"/>
    <col min="7187" max="7187" width="9" style="4" customWidth="1"/>
    <col min="7188" max="7188" width="10.140625" style="4" customWidth="1"/>
    <col min="7189" max="7189" width="9.28515625" style="4" customWidth="1"/>
    <col min="7190" max="7190" width="9" style="4" customWidth="1"/>
    <col min="7191" max="7192" width="10.28515625" style="4" customWidth="1"/>
    <col min="7193" max="7193" width="10.140625" style="4" customWidth="1"/>
    <col min="7194" max="7194" width="10.28515625" style="4" customWidth="1"/>
    <col min="7195" max="7195" width="10.140625" style="4" customWidth="1"/>
    <col min="7196" max="7196" width="9.140625" style="4" customWidth="1"/>
    <col min="7197" max="7197" width="9" style="4" customWidth="1"/>
    <col min="7198" max="7198" width="10.140625" style="4" customWidth="1"/>
    <col min="7199" max="7199" width="9.28515625" style="4" customWidth="1"/>
    <col min="7200" max="7200" width="9" style="4" customWidth="1"/>
    <col min="7201" max="7202" width="10.28515625" style="4" customWidth="1"/>
    <col min="7203" max="7203" width="10.140625" style="4" customWidth="1"/>
    <col min="7204" max="7204" width="10.28515625" style="4" customWidth="1"/>
    <col min="7205" max="7205" width="10.140625" style="4" customWidth="1"/>
    <col min="7206" max="7206" width="9.140625" style="4" customWidth="1"/>
    <col min="7207" max="7207" width="9" style="4" customWidth="1"/>
    <col min="7208" max="7208" width="10.140625" style="4" customWidth="1"/>
    <col min="7209" max="7209" width="9.28515625" style="4" customWidth="1"/>
    <col min="7210" max="7210" width="9" style="4" customWidth="1"/>
    <col min="7211" max="7212" width="10.28515625" style="4" customWidth="1"/>
    <col min="7213" max="7213" width="10.140625" style="4" customWidth="1"/>
    <col min="7214" max="7214" width="10.28515625" style="4" customWidth="1"/>
    <col min="7215" max="7215" width="10.140625" style="4" customWidth="1"/>
    <col min="7216" max="7216" width="38.28515625" style="4" customWidth="1"/>
    <col min="7217" max="7217" width="34.5703125" style="4" customWidth="1"/>
    <col min="7218" max="7218" width="30.28515625" style="4" customWidth="1"/>
    <col min="7219" max="7219" width="12.5703125" style="4" customWidth="1"/>
    <col min="7220" max="7226" width="11.42578125" style="4"/>
    <col min="7227" max="7227" width="34.28515625" style="4" customWidth="1"/>
    <col min="7228" max="7424" width="11.42578125" style="4"/>
    <col min="7425" max="7425" width="19.42578125" style="4" bestFit="1" customWidth="1"/>
    <col min="7426" max="7426" width="23.28515625" style="4" bestFit="1" customWidth="1"/>
    <col min="7427" max="7427" width="35.5703125" style="4" bestFit="1" customWidth="1"/>
    <col min="7428" max="7428" width="42.42578125" style="4" customWidth="1"/>
    <col min="7429" max="7429" width="27.5703125" style="4" customWidth="1"/>
    <col min="7430" max="7430" width="18.28515625" style="4" customWidth="1"/>
    <col min="7431" max="7431" width="25.5703125" style="4" customWidth="1"/>
    <col min="7432" max="7432" width="26.5703125" style="4" customWidth="1"/>
    <col min="7433" max="7433" width="31.42578125" style="4" customWidth="1"/>
    <col min="7434" max="7434" width="26.5703125" style="4" customWidth="1"/>
    <col min="7435" max="7435" width="17.42578125" style="4" bestFit="1" customWidth="1"/>
    <col min="7436" max="7436" width="10.28515625" style="4" customWidth="1"/>
    <col min="7437" max="7437" width="19" style="4" customWidth="1"/>
    <col min="7438" max="7438" width="16" style="4" customWidth="1"/>
    <col min="7439" max="7440" width="13.5703125" style="4" customWidth="1"/>
    <col min="7441" max="7441" width="20.28515625" style="4" customWidth="1"/>
    <col min="7442" max="7442" width="9.140625" style="4" customWidth="1"/>
    <col min="7443" max="7443" width="9" style="4" customWidth="1"/>
    <col min="7444" max="7444" width="10.140625" style="4" customWidth="1"/>
    <col min="7445" max="7445" width="9.28515625" style="4" customWidth="1"/>
    <col min="7446" max="7446" width="9" style="4" customWidth="1"/>
    <col min="7447" max="7448" width="10.28515625" style="4" customWidth="1"/>
    <col min="7449" max="7449" width="10.140625" style="4" customWidth="1"/>
    <col min="7450" max="7450" width="10.28515625" style="4" customWidth="1"/>
    <col min="7451" max="7451" width="10.140625" style="4" customWidth="1"/>
    <col min="7452" max="7452" width="9.140625" style="4" customWidth="1"/>
    <col min="7453" max="7453" width="9" style="4" customWidth="1"/>
    <col min="7454" max="7454" width="10.140625" style="4" customWidth="1"/>
    <col min="7455" max="7455" width="9.28515625" style="4" customWidth="1"/>
    <col min="7456" max="7456" width="9" style="4" customWidth="1"/>
    <col min="7457" max="7458" width="10.28515625" style="4" customWidth="1"/>
    <col min="7459" max="7459" width="10.140625" style="4" customWidth="1"/>
    <col min="7460" max="7460" width="10.28515625" style="4" customWidth="1"/>
    <col min="7461" max="7461" width="10.140625" style="4" customWidth="1"/>
    <col min="7462" max="7462" width="9.140625" style="4" customWidth="1"/>
    <col min="7463" max="7463" width="9" style="4" customWidth="1"/>
    <col min="7464" max="7464" width="10.140625" style="4" customWidth="1"/>
    <col min="7465" max="7465" width="9.28515625" style="4" customWidth="1"/>
    <col min="7466" max="7466" width="9" style="4" customWidth="1"/>
    <col min="7467" max="7468" width="10.28515625" style="4" customWidth="1"/>
    <col min="7469" max="7469" width="10.140625" style="4" customWidth="1"/>
    <col min="7470" max="7470" width="10.28515625" style="4" customWidth="1"/>
    <col min="7471" max="7471" width="10.140625" style="4" customWidth="1"/>
    <col min="7472" max="7472" width="38.28515625" style="4" customWidth="1"/>
    <col min="7473" max="7473" width="34.5703125" style="4" customWidth="1"/>
    <col min="7474" max="7474" width="30.28515625" style="4" customWidth="1"/>
    <col min="7475" max="7475" width="12.5703125" style="4" customWidth="1"/>
    <col min="7476" max="7482" width="11.42578125" style="4"/>
    <col min="7483" max="7483" width="34.28515625" style="4" customWidth="1"/>
    <col min="7484" max="7680" width="11.42578125" style="4"/>
    <col min="7681" max="7681" width="19.42578125" style="4" bestFit="1" customWidth="1"/>
    <col min="7682" max="7682" width="23.28515625" style="4" bestFit="1" customWidth="1"/>
    <col min="7683" max="7683" width="35.5703125" style="4" bestFit="1" customWidth="1"/>
    <col min="7684" max="7684" width="42.42578125" style="4" customWidth="1"/>
    <col min="7685" max="7685" width="27.5703125" style="4" customWidth="1"/>
    <col min="7686" max="7686" width="18.28515625" style="4" customWidth="1"/>
    <col min="7687" max="7687" width="25.5703125" style="4" customWidth="1"/>
    <col min="7688" max="7688" width="26.5703125" style="4" customWidth="1"/>
    <col min="7689" max="7689" width="31.42578125" style="4" customWidth="1"/>
    <col min="7690" max="7690" width="26.5703125" style="4" customWidth="1"/>
    <col min="7691" max="7691" width="17.42578125" style="4" bestFit="1" customWidth="1"/>
    <col min="7692" max="7692" width="10.28515625" style="4" customWidth="1"/>
    <col min="7693" max="7693" width="19" style="4" customWidth="1"/>
    <col min="7694" max="7694" width="16" style="4" customWidth="1"/>
    <col min="7695" max="7696" width="13.5703125" style="4" customWidth="1"/>
    <col min="7697" max="7697" width="20.28515625" style="4" customWidth="1"/>
    <col min="7698" max="7698" width="9.140625" style="4" customWidth="1"/>
    <col min="7699" max="7699" width="9" style="4" customWidth="1"/>
    <col min="7700" max="7700" width="10.140625" style="4" customWidth="1"/>
    <col min="7701" max="7701" width="9.28515625" style="4" customWidth="1"/>
    <col min="7702" max="7702" width="9" style="4" customWidth="1"/>
    <col min="7703" max="7704" width="10.28515625" style="4" customWidth="1"/>
    <col min="7705" max="7705" width="10.140625" style="4" customWidth="1"/>
    <col min="7706" max="7706" width="10.28515625" style="4" customWidth="1"/>
    <col min="7707" max="7707" width="10.140625" style="4" customWidth="1"/>
    <col min="7708" max="7708" width="9.140625" style="4" customWidth="1"/>
    <col min="7709" max="7709" width="9" style="4" customWidth="1"/>
    <col min="7710" max="7710" width="10.140625" style="4" customWidth="1"/>
    <col min="7711" max="7711" width="9.28515625" style="4" customWidth="1"/>
    <col min="7712" max="7712" width="9" style="4" customWidth="1"/>
    <col min="7713" max="7714" width="10.28515625" style="4" customWidth="1"/>
    <col min="7715" max="7715" width="10.140625" style="4" customWidth="1"/>
    <col min="7716" max="7716" width="10.28515625" style="4" customWidth="1"/>
    <col min="7717" max="7717" width="10.140625" style="4" customWidth="1"/>
    <col min="7718" max="7718" width="9.140625" style="4" customWidth="1"/>
    <col min="7719" max="7719" width="9" style="4" customWidth="1"/>
    <col min="7720" max="7720" width="10.140625" style="4" customWidth="1"/>
    <col min="7721" max="7721" width="9.28515625" style="4" customWidth="1"/>
    <col min="7722" max="7722" width="9" style="4" customWidth="1"/>
    <col min="7723" max="7724" width="10.28515625" style="4" customWidth="1"/>
    <col min="7725" max="7725" width="10.140625" style="4" customWidth="1"/>
    <col min="7726" max="7726" width="10.28515625" style="4" customWidth="1"/>
    <col min="7727" max="7727" width="10.140625" style="4" customWidth="1"/>
    <col min="7728" max="7728" width="38.28515625" style="4" customWidth="1"/>
    <col min="7729" max="7729" width="34.5703125" style="4" customWidth="1"/>
    <col min="7730" max="7730" width="30.28515625" style="4" customWidth="1"/>
    <col min="7731" max="7731" width="12.5703125" style="4" customWidth="1"/>
    <col min="7732" max="7738" width="11.42578125" style="4"/>
    <col min="7739" max="7739" width="34.28515625" style="4" customWidth="1"/>
    <col min="7740" max="7936" width="11.42578125" style="4"/>
    <col min="7937" max="7937" width="19.42578125" style="4" bestFit="1" customWidth="1"/>
    <col min="7938" max="7938" width="23.28515625" style="4" bestFit="1" customWidth="1"/>
    <col min="7939" max="7939" width="35.5703125" style="4" bestFit="1" customWidth="1"/>
    <col min="7940" max="7940" width="42.42578125" style="4" customWidth="1"/>
    <col min="7941" max="7941" width="27.5703125" style="4" customWidth="1"/>
    <col min="7942" max="7942" width="18.28515625" style="4" customWidth="1"/>
    <col min="7943" max="7943" width="25.5703125" style="4" customWidth="1"/>
    <col min="7944" max="7944" width="26.5703125" style="4" customWidth="1"/>
    <col min="7945" max="7945" width="31.42578125" style="4" customWidth="1"/>
    <col min="7946" max="7946" width="26.5703125" style="4" customWidth="1"/>
    <col min="7947" max="7947" width="17.42578125" style="4" bestFit="1" customWidth="1"/>
    <col min="7948" max="7948" width="10.28515625" style="4" customWidth="1"/>
    <col min="7949" max="7949" width="19" style="4" customWidth="1"/>
    <col min="7950" max="7950" width="16" style="4" customWidth="1"/>
    <col min="7951" max="7952" width="13.5703125" style="4" customWidth="1"/>
    <col min="7953" max="7953" width="20.28515625" style="4" customWidth="1"/>
    <col min="7954" max="7954" width="9.140625" style="4" customWidth="1"/>
    <col min="7955" max="7955" width="9" style="4" customWidth="1"/>
    <col min="7956" max="7956" width="10.140625" style="4" customWidth="1"/>
    <col min="7957" max="7957" width="9.28515625" style="4" customWidth="1"/>
    <col min="7958" max="7958" width="9" style="4" customWidth="1"/>
    <col min="7959" max="7960" width="10.28515625" style="4" customWidth="1"/>
    <col min="7961" max="7961" width="10.140625" style="4" customWidth="1"/>
    <col min="7962" max="7962" width="10.28515625" style="4" customWidth="1"/>
    <col min="7963" max="7963" width="10.140625" style="4" customWidth="1"/>
    <col min="7964" max="7964" width="9.140625" style="4" customWidth="1"/>
    <col min="7965" max="7965" width="9" style="4" customWidth="1"/>
    <col min="7966" max="7966" width="10.140625" style="4" customWidth="1"/>
    <col min="7967" max="7967" width="9.28515625" style="4" customWidth="1"/>
    <col min="7968" max="7968" width="9" style="4" customWidth="1"/>
    <col min="7969" max="7970" width="10.28515625" style="4" customWidth="1"/>
    <col min="7971" max="7971" width="10.140625" style="4" customWidth="1"/>
    <col min="7972" max="7972" width="10.28515625" style="4" customWidth="1"/>
    <col min="7973" max="7973" width="10.140625" style="4" customWidth="1"/>
    <col min="7974" max="7974" width="9.140625" style="4" customWidth="1"/>
    <col min="7975" max="7975" width="9" style="4" customWidth="1"/>
    <col min="7976" max="7976" width="10.140625" style="4" customWidth="1"/>
    <col min="7977" max="7977" width="9.28515625" style="4" customWidth="1"/>
    <col min="7978" max="7978" width="9" style="4" customWidth="1"/>
    <col min="7979" max="7980" width="10.28515625" style="4" customWidth="1"/>
    <col min="7981" max="7981" width="10.140625" style="4" customWidth="1"/>
    <col min="7982" max="7982" width="10.28515625" style="4" customWidth="1"/>
    <col min="7983" max="7983" width="10.140625" style="4" customWidth="1"/>
    <col min="7984" max="7984" width="38.28515625" style="4" customWidth="1"/>
    <col min="7985" max="7985" width="34.5703125" style="4" customWidth="1"/>
    <col min="7986" max="7986" width="30.28515625" style="4" customWidth="1"/>
    <col min="7987" max="7987" width="12.5703125" style="4" customWidth="1"/>
    <col min="7988" max="7994" width="11.42578125" style="4"/>
    <col min="7995" max="7995" width="34.28515625" style="4" customWidth="1"/>
    <col min="7996" max="8192" width="11.42578125" style="4"/>
    <col min="8193" max="8193" width="19.42578125" style="4" bestFit="1" customWidth="1"/>
    <col min="8194" max="8194" width="23.28515625" style="4" bestFit="1" customWidth="1"/>
    <col min="8195" max="8195" width="35.5703125" style="4" bestFit="1" customWidth="1"/>
    <col min="8196" max="8196" width="42.42578125" style="4" customWidth="1"/>
    <col min="8197" max="8197" width="27.5703125" style="4" customWidth="1"/>
    <col min="8198" max="8198" width="18.28515625" style="4" customWidth="1"/>
    <col min="8199" max="8199" width="25.5703125" style="4" customWidth="1"/>
    <col min="8200" max="8200" width="26.5703125" style="4" customWidth="1"/>
    <col min="8201" max="8201" width="31.42578125" style="4" customWidth="1"/>
    <col min="8202" max="8202" width="26.5703125" style="4" customWidth="1"/>
    <col min="8203" max="8203" width="17.42578125" style="4" bestFit="1" customWidth="1"/>
    <col min="8204" max="8204" width="10.28515625" style="4" customWidth="1"/>
    <col min="8205" max="8205" width="19" style="4" customWidth="1"/>
    <col min="8206" max="8206" width="16" style="4" customWidth="1"/>
    <col min="8207" max="8208" width="13.5703125" style="4" customWidth="1"/>
    <col min="8209" max="8209" width="20.28515625" style="4" customWidth="1"/>
    <col min="8210" max="8210" width="9.140625" style="4" customWidth="1"/>
    <col min="8211" max="8211" width="9" style="4" customWidth="1"/>
    <col min="8212" max="8212" width="10.140625" style="4" customWidth="1"/>
    <col min="8213" max="8213" width="9.28515625" style="4" customWidth="1"/>
    <col min="8214" max="8214" width="9" style="4" customWidth="1"/>
    <col min="8215" max="8216" width="10.28515625" style="4" customWidth="1"/>
    <col min="8217" max="8217" width="10.140625" style="4" customWidth="1"/>
    <col min="8218" max="8218" width="10.28515625" style="4" customWidth="1"/>
    <col min="8219" max="8219" width="10.140625" style="4" customWidth="1"/>
    <col min="8220" max="8220" width="9.140625" style="4" customWidth="1"/>
    <col min="8221" max="8221" width="9" style="4" customWidth="1"/>
    <col min="8222" max="8222" width="10.140625" style="4" customWidth="1"/>
    <col min="8223" max="8223" width="9.28515625" style="4" customWidth="1"/>
    <col min="8224" max="8224" width="9" style="4" customWidth="1"/>
    <col min="8225" max="8226" width="10.28515625" style="4" customWidth="1"/>
    <col min="8227" max="8227" width="10.140625" style="4" customWidth="1"/>
    <col min="8228" max="8228" width="10.28515625" style="4" customWidth="1"/>
    <col min="8229" max="8229" width="10.140625" style="4" customWidth="1"/>
    <col min="8230" max="8230" width="9.140625" style="4" customWidth="1"/>
    <col min="8231" max="8231" width="9" style="4" customWidth="1"/>
    <col min="8232" max="8232" width="10.140625" style="4" customWidth="1"/>
    <col min="8233" max="8233" width="9.28515625" style="4" customWidth="1"/>
    <col min="8234" max="8234" width="9" style="4" customWidth="1"/>
    <col min="8235" max="8236" width="10.28515625" style="4" customWidth="1"/>
    <col min="8237" max="8237" width="10.140625" style="4" customWidth="1"/>
    <col min="8238" max="8238" width="10.28515625" style="4" customWidth="1"/>
    <col min="8239" max="8239" width="10.140625" style="4" customWidth="1"/>
    <col min="8240" max="8240" width="38.28515625" style="4" customWidth="1"/>
    <col min="8241" max="8241" width="34.5703125" style="4" customWidth="1"/>
    <col min="8242" max="8242" width="30.28515625" style="4" customWidth="1"/>
    <col min="8243" max="8243" width="12.5703125" style="4" customWidth="1"/>
    <col min="8244" max="8250" width="11.42578125" style="4"/>
    <col min="8251" max="8251" width="34.28515625" style="4" customWidth="1"/>
    <col min="8252" max="8448" width="11.42578125" style="4"/>
    <col min="8449" max="8449" width="19.42578125" style="4" bestFit="1" customWidth="1"/>
    <col min="8450" max="8450" width="23.28515625" style="4" bestFit="1" customWidth="1"/>
    <col min="8451" max="8451" width="35.5703125" style="4" bestFit="1" customWidth="1"/>
    <col min="8452" max="8452" width="42.42578125" style="4" customWidth="1"/>
    <col min="8453" max="8453" width="27.5703125" style="4" customWidth="1"/>
    <col min="8454" max="8454" width="18.28515625" style="4" customWidth="1"/>
    <col min="8455" max="8455" width="25.5703125" style="4" customWidth="1"/>
    <col min="8456" max="8456" width="26.5703125" style="4" customWidth="1"/>
    <col min="8457" max="8457" width="31.42578125" style="4" customWidth="1"/>
    <col min="8458" max="8458" width="26.5703125" style="4" customWidth="1"/>
    <col min="8459" max="8459" width="17.42578125" style="4" bestFit="1" customWidth="1"/>
    <col min="8460" max="8460" width="10.28515625" style="4" customWidth="1"/>
    <col min="8461" max="8461" width="19" style="4" customWidth="1"/>
    <col min="8462" max="8462" width="16" style="4" customWidth="1"/>
    <col min="8463" max="8464" width="13.5703125" style="4" customWidth="1"/>
    <col min="8465" max="8465" width="20.28515625" style="4" customWidth="1"/>
    <col min="8466" max="8466" width="9.140625" style="4" customWidth="1"/>
    <col min="8467" max="8467" width="9" style="4" customWidth="1"/>
    <col min="8468" max="8468" width="10.140625" style="4" customWidth="1"/>
    <col min="8469" max="8469" width="9.28515625" style="4" customWidth="1"/>
    <col min="8470" max="8470" width="9" style="4" customWidth="1"/>
    <col min="8471" max="8472" width="10.28515625" style="4" customWidth="1"/>
    <col min="8473" max="8473" width="10.140625" style="4" customWidth="1"/>
    <col min="8474" max="8474" width="10.28515625" style="4" customWidth="1"/>
    <col min="8475" max="8475" width="10.140625" style="4" customWidth="1"/>
    <col min="8476" max="8476" width="9.140625" style="4" customWidth="1"/>
    <col min="8477" max="8477" width="9" style="4" customWidth="1"/>
    <col min="8478" max="8478" width="10.140625" style="4" customWidth="1"/>
    <col min="8479" max="8479" width="9.28515625" style="4" customWidth="1"/>
    <col min="8480" max="8480" width="9" style="4" customWidth="1"/>
    <col min="8481" max="8482" width="10.28515625" style="4" customWidth="1"/>
    <col min="8483" max="8483" width="10.140625" style="4" customWidth="1"/>
    <col min="8484" max="8484" width="10.28515625" style="4" customWidth="1"/>
    <col min="8485" max="8485" width="10.140625" style="4" customWidth="1"/>
    <col min="8486" max="8486" width="9.140625" style="4" customWidth="1"/>
    <col min="8487" max="8487" width="9" style="4" customWidth="1"/>
    <col min="8488" max="8488" width="10.140625" style="4" customWidth="1"/>
    <col min="8489" max="8489" width="9.28515625" style="4" customWidth="1"/>
    <col min="8490" max="8490" width="9" style="4" customWidth="1"/>
    <col min="8491" max="8492" width="10.28515625" style="4" customWidth="1"/>
    <col min="8493" max="8493" width="10.140625" style="4" customWidth="1"/>
    <col min="8494" max="8494" width="10.28515625" style="4" customWidth="1"/>
    <col min="8495" max="8495" width="10.140625" style="4" customWidth="1"/>
    <col min="8496" max="8496" width="38.28515625" style="4" customWidth="1"/>
    <col min="8497" max="8497" width="34.5703125" style="4" customWidth="1"/>
    <col min="8498" max="8498" width="30.28515625" style="4" customWidth="1"/>
    <col min="8499" max="8499" width="12.5703125" style="4" customWidth="1"/>
    <col min="8500" max="8506" width="11.42578125" style="4"/>
    <col min="8507" max="8507" width="34.28515625" style="4" customWidth="1"/>
    <col min="8508" max="8704" width="11.42578125" style="4"/>
    <col min="8705" max="8705" width="19.42578125" style="4" bestFit="1" customWidth="1"/>
    <col min="8706" max="8706" width="23.28515625" style="4" bestFit="1" customWidth="1"/>
    <col min="8707" max="8707" width="35.5703125" style="4" bestFit="1" customWidth="1"/>
    <col min="8708" max="8708" width="42.42578125" style="4" customWidth="1"/>
    <col min="8709" max="8709" width="27.5703125" style="4" customWidth="1"/>
    <col min="8710" max="8710" width="18.28515625" style="4" customWidth="1"/>
    <col min="8711" max="8711" width="25.5703125" style="4" customWidth="1"/>
    <col min="8712" max="8712" width="26.5703125" style="4" customWidth="1"/>
    <col min="8713" max="8713" width="31.42578125" style="4" customWidth="1"/>
    <col min="8714" max="8714" width="26.5703125" style="4" customWidth="1"/>
    <col min="8715" max="8715" width="17.42578125" style="4" bestFit="1" customWidth="1"/>
    <col min="8716" max="8716" width="10.28515625" style="4" customWidth="1"/>
    <col min="8717" max="8717" width="19" style="4" customWidth="1"/>
    <col min="8718" max="8718" width="16" style="4" customWidth="1"/>
    <col min="8719" max="8720" width="13.5703125" style="4" customWidth="1"/>
    <col min="8721" max="8721" width="20.28515625" style="4" customWidth="1"/>
    <col min="8722" max="8722" width="9.140625" style="4" customWidth="1"/>
    <col min="8723" max="8723" width="9" style="4" customWidth="1"/>
    <col min="8724" max="8724" width="10.140625" style="4" customWidth="1"/>
    <col min="8725" max="8725" width="9.28515625" style="4" customWidth="1"/>
    <col min="8726" max="8726" width="9" style="4" customWidth="1"/>
    <col min="8727" max="8728" width="10.28515625" style="4" customWidth="1"/>
    <col min="8729" max="8729" width="10.140625" style="4" customWidth="1"/>
    <col min="8730" max="8730" width="10.28515625" style="4" customWidth="1"/>
    <col min="8731" max="8731" width="10.140625" style="4" customWidth="1"/>
    <col min="8732" max="8732" width="9.140625" style="4" customWidth="1"/>
    <col min="8733" max="8733" width="9" style="4" customWidth="1"/>
    <col min="8734" max="8734" width="10.140625" style="4" customWidth="1"/>
    <col min="8735" max="8735" width="9.28515625" style="4" customWidth="1"/>
    <col min="8736" max="8736" width="9" style="4" customWidth="1"/>
    <col min="8737" max="8738" width="10.28515625" style="4" customWidth="1"/>
    <col min="8739" max="8739" width="10.140625" style="4" customWidth="1"/>
    <col min="8740" max="8740" width="10.28515625" style="4" customWidth="1"/>
    <col min="8741" max="8741" width="10.140625" style="4" customWidth="1"/>
    <col min="8742" max="8742" width="9.140625" style="4" customWidth="1"/>
    <col min="8743" max="8743" width="9" style="4" customWidth="1"/>
    <col min="8744" max="8744" width="10.140625" style="4" customWidth="1"/>
    <col min="8745" max="8745" width="9.28515625" style="4" customWidth="1"/>
    <col min="8746" max="8746" width="9" style="4" customWidth="1"/>
    <col min="8747" max="8748" width="10.28515625" style="4" customWidth="1"/>
    <col min="8749" max="8749" width="10.140625" style="4" customWidth="1"/>
    <col min="8750" max="8750" width="10.28515625" style="4" customWidth="1"/>
    <col min="8751" max="8751" width="10.140625" style="4" customWidth="1"/>
    <col min="8752" max="8752" width="38.28515625" style="4" customWidth="1"/>
    <col min="8753" max="8753" width="34.5703125" style="4" customWidth="1"/>
    <col min="8754" max="8754" width="30.28515625" style="4" customWidth="1"/>
    <col min="8755" max="8755" width="12.5703125" style="4" customWidth="1"/>
    <col min="8756" max="8762" width="11.42578125" style="4"/>
    <col min="8763" max="8763" width="34.28515625" style="4" customWidth="1"/>
    <col min="8764" max="8960" width="11.42578125" style="4"/>
    <col min="8961" max="8961" width="19.42578125" style="4" bestFit="1" customWidth="1"/>
    <col min="8962" max="8962" width="23.28515625" style="4" bestFit="1" customWidth="1"/>
    <col min="8963" max="8963" width="35.5703125" style="4" bestFit="1" customWidth="1"/>
    <col min="8964" max="8964" width="42.42578125" style="4" customWidth="1"/>
    <col min="8965" max="8965" width="27.5703125" style="4" customWidth="1"/>
    <col min="8966" max="8966" width="18.28515625" style="4" customWidth="1"/>
    <col min="8967" max="8967" width="25.5703125" style="4" customWidth="1"/>
    <col min="8968" max="8968" width="26.5703125" style="4" customWidth="1"/>
    <col min="8969" max="8969" width="31.42578125" style="4" customWidth="1"/>
    <col min="8970" max="8970" width="26.5703125" style="4" customWidth="1"/>
    <col min="8971" max="8971" width="17.42578125" style="4" bestFit="1" customWidth="1"/>
    <col min="8972" max="8972" width="10.28515625" style="4" customWidth="1"/>
    <col min="8973" max="8973" width="19" style="4" customWidth="1"/>
    <col min="8974" max="8974" width="16" style="4" customWidth="1"/>
    <col min="8975" max="8976" width="13.5703125" style="4" customWidth="1"/>
    <col min="8977" max="8977" width="20.28515625" style="4" customWidth="1"/>
    <col min="8978" max="8978" width="9.140625" style="4" customWidth="1"/>
    <col min="8979" max="8979" width="9" style="4" customWidth="1"/>
    <col min="8980" max="8980" width="10.140625" style="4" customWidth="1"/>
    <col min="8981" max="8981" width="9.28515625" style="4" customWidth="1"/>
    <col min="8982" max="8982" width="9" style="4" customWidth="1"/>
    <col min="8983" max="8984" width="10.28515625" style="4" customWidth="1"/>
    <col min="8985" max="8985" width="10.140625" style="4" customWidth="1"/>
    <col min="8986" max="8986" width="10.28515625" style="4" customWidth="1"/>
    <col min="8987" max="8987" width="10.140625" style="4" customWidth="1"/>
    <col min="8988" max="8988" width="9.140625" style="4" customWidth="1"/>
    <col min="8989" max="8989" width="9" style="4" customWidth="1"/>
    <col min="8990" max="8990" width="10.140625" style="4" customWidth="1"/>
    <col min="8991" max="8991" width="9.28515625" style="4" customWidth="1"/>
    <col min="8992" max="8992" width="9" style="4" customWidth="1"/>
    <col min="8993" max="8994" width="10.28515625" style="4" customWidth="1"/>
    <col min="8995" max="8995" width="10.140625" style="4" customWidth="1"/>
    <col min="8996" max="8996" width="10.28515625" style="4" customWidth="1"/>
    <col min="8997" max="8997" width="10.140625" style="4" customWidth="1"/>
    <col min="8998" max="8998" width="9.140625" style="4" customWidth="1"/>
    <col min="8999" max="8999" width="9" style="4" customWidth="1"/>
    <col min="9000" max="9000" width="10.140625" style="4" customWidth="1"/>
    <col min="9001" max="9001" width="9.28515625" style="4" customWidth="1"/>
    <col min="9002" max="9002" width="9" style="4" customWidth="1"/>
    <col min="9003" max="9004" width="10.28515625" style="4" customWidth="1"/>
    <col min="9005" max="9005" width="10.140625" style="4" customWidth="1"/>
    <col min="9006" max="9006" width="10.28515625" style="4" customWidth="1"/>
    <col min="9007" max="9007" width="10.140625" style="4" customWidth="1"/>
    <col min="9008" max="9008" width="38.28515625" style="4" customWidth="1"/>
    <col min="9009" max="9009" width="34.5703125" style="4" customWidth="1"/>
    <col min="9010" max="9010" width="30.28515625" style="4" customWidth="1"/>
    <col min="9011" max="9011" width="12.5703125" style="4" customWidth="1"/>
    <col min="9012" max="9018" width="11.42578125" style="4"/>
    <col min="9019" max="9019" width="34.28515625" style="4" customWidth="1"/>
    <col min="9020" max="9216" width="11.42578125" style="4"/>
    <col min="9217" max="9217" width="19.42578125" style="4" bestFit="1" customWidth="1"/>
    <col min="9218" max="9218" width="23.28515625" style="4" bestFit="1" customWidth="1"/>
    <col min="9219" max="9219" width="35.5703125" style="4" bestFit="1" customWidth="1"/>
    <col min="9220" max="9220" width="42.42578125" style="4" customWidth="1"/>
    <col min="9221" max="9221" width="27.5703125" style="4" customWidth="1"/>
    <col min="9222" max="9222" width="18.28515625" style="4" customWidth="1"/>
    <col min="9223" max="9223" width="25.5703125" style="4" customWidth="1"/>
    <col min="9224" max="9224" width="26.5703125" style="4" customWidth="1"/>
    <col min="9225" max="9225" width="31.42578125" style="4" customWidth="1"/>
    <col min="9226" max="9226" width="26.5703125" style="4" customWidth="1"/>
    <col min="9227" max="9227" width="17.42578125" style="4" bestFit="1" customWidth="1"/>
    <col min="9228" max="9228" width="10.28515625" style="4" customWidth="1"/>
    <col min="9229" max="9229" width="19" style="4" customWidth="1"/>
    <col min="9230" max="9230" width="16" style="4" customWidth="1"/>
    <col min="9231" max="9232" width="13.5703125" style="4" customWidth="1"/>
    <col min="9233" max="9233" width="20.28515625" style="4" customWidth="1"/>
    <col min="9234" max="9234" width="9.140625" style="4" customWidth="1"/>
    <col min="9235" max="9235" width="9" style="4" customWidth="1"/>
    <col min="9236" max="9236" width="10.140625" style="4" customWidth="1"/>
    <col min="9237" max="9237" width="9.28515625" style="4" customWidth="1"/>
    <col min="9238" max="9238" width="9" style="4" customWidth="1"/>
    <col min="9239" max="9240" width="10.28515625" style="4" customWidth="1"/>
    <col min="9241" max="9241" width="10.140625" style="4" customWidth="1"/>
    <col min="9242" max="9242" width="10.28515625" style="4" customWidth="1"/>
    <col min="9243" max="9243" width="10.140625" style="4" customWidth="1"/>
    <col min="9244" max="9244" width="9.140625" style="4" customWidth="1"/>
    <col min="9245" max="9245" width="9" style="4" customWidth="1"/>
    <col min="9246" max="9246" width="10.140625" style="4" customWidth="1"/>
    <col min="9247" max="9247" width="9.28515625" style="4" customWidth="1"/>
    <col min="9248" max="9248" width="9" style="4" customWidth="1"/>
    <col min="9249" max="9250" width="10.28515625" style="4" customWidth="1"/>
    <col min="9251" max="9251" width="10.140625" style="4" customWidth="1"/>
    <col min="9252" max="9252" width="10.28515625" style="4" customWidth="1"/>
    <col min="9253" max="9253" width="10.140625" style="4" customWidth="1"/>
    <col min="9254" max="9254" width="9.140625" style="4" customWidth="1"/>
    <col min="9255" max="9255" width="9" style="4" customWidth="1"/>
    <col min="9256" max="9256" width="10.140625" style="4" customWidth="1"/>
    <col min="9257" max="9257" width="9.28515625" style="4" customWidth="1"/>
    <col min="9258" max="9258" width="9" style="4" customWidth="1"/>
    <col min="9259" max="9260" width="10.28515625" style="4" customWidth="1"/>
    <col min="9261" max="9261" width="10.140625" style="4" customWidth="1"/>
    <col min="9262" max="9262" width="10.28515625" style="4" customWidth="1"/>
    <col min="9263" max="9263" width="10.140625" style="4" customWidth="1"/>
    <col min="9264" max="9264" width="38.28515625" style="4" customWidth="1"/>
    <col min="9265" max="9265" width="34.5703125" style="4" customWidth="1"/>
    <col min="9266" max="9266" width="30.28515625" style="4" customWidth="1"/>
    <col min="9267" max="9267" width="12.5703125" style="4" customWidth="1"/>
    <col min="9268" max="9274" width="11.42578125" style="4"/>
    <col min="9275" max="9275" width="34.28515625" style="4" customWidth="1"/>
    <col min="9276" max="9472" width="11.42578125" style="4"/>
    <col min="9473" max="9473" width="19.42578125" style="4" bestFit="1" customWidth="1"/>
    <col min="9474" max="9474" width="23.28515625" style="4" bestFit="1" customWidth="1"/>
    <col min="9475" max="9475" width="35.5703125" style="4" bestFit="1" customWidth="1"/>
    <col min="9476" max="9476" width="42.42578125" style="4" customWidth="1"/>
    <col min="9477" max="9477" width="27.5703125" style="4" customWidth="1"/>
    <col min="9478" max="9478" width="18.28515625" style="4" customWidth="1"/>
    <col min="9479" max="9479" width="25.5703125" style="4" customWidth="1"/>
    <col min="9480" max="9480" width="26.5703125" style="4" customWidth="1"/>
    <col min="9481" max="9481" width="31.42578125" style="4" customWidth="1"/>
    <col min="9482" max="9482" width="26.5703125" style="4" customWidth="1"/>
    <col min="9483" max="9483" width="17.42578125" style="4" bestFit="1" customWidth="1"/>
    <col min="9484" max="9484" width="10.28515625" style="4" customWidth="1"/>
    <col min="9485" max="9485" width="19" style="4" customWidth="1"/>
    <col min="9486" max="9486" width="16" style="4" customWidth="1"/>
    <col min="9487" max="9488" width="13.5703125" style="4" customWidth="1"/>
    <col min="9489" max="9489" width="20.28515625" style="4" customWidth="1"/>
    <col min="9490" max="9490" width="9.140625" style="4" customWidth="1"/>
    <col min="9491" max="9491" width="9" style="4" customWidth="1"/>
    <col min="9492" max="9492" width="10.140625" style="4" customWidth="1"/>
    <col min="9493" max="9493" width="9.28515625" style="4" customWidth="1"/>
    <col min="9494" max="9494" width="9" style="4" customWidth="1"/>
    <col min="9495" max="9496" width="10.28515625" style="4" customWidth="1"/>
    <col min="9497" max="9497" width="10.140625" style="4" customWidth="1"/>
    <col min="9498" max="9498" width="10.28515625" style="4" customWidth="1"/>
    <col min="9499" max="9499" width="10.140625" style="4" customWidth="1"/>
    <col min="9500" max="9500" width="9.140625" style="4" customWidth="1"/>
    <col min="9501" max="9501" width="9" style="4" customWidth="1"/>
    <col min="9502" max="9502" width="10.140625" style="4" customWidth="1"/>
    <col min="9503" max="9503" width="9.28515625" style="4" customWidth="1"/>
    <col min="9504" max="9504" width="9" style="4" customWidth="1"/>
    <col min="9505" max="9506" width="10.28515625" style="4" customWidth="1"/>
    <col min="9507" max="9507" width="10.140625" style="4" customWidth="1"/>
    <col min="9508" max="9508" width="10.28515625" style="4" customWidth="1"/>
    <col min="9509" max="9509" width="10.140625" style="4" customWidth="1"/>
    <col min="9510" max="9510" width="9.140625" style="4" customWidth="1"/>
    <col min="9511" max="9511" width="9" style="4" customWidth="1"/>
    <col min="9512" max="9512" width="10.140625" style="4" customWidth="1"/>
    <col min="9513" max="9513" width="9.28515625" style="4" customWidth="1"/>
    <col min="9514" max="9514" width="9" style="4" customWidth="1"/>
    <col min="9515" max="9516" width="10.28515625" style="4" customWidth="1"/>
    <col min="9517" max="9517" width="10.140625" style="4" customWidth="1"/>
    <col min="9518" max="9518" width="10.28515625" style="4" customWidth="1"/>
    <col min="9519" max="9519" width="10.140625" style="4" customWidth="1"/>
    <col min="9520" max="9520" width="38.28515625" style="4" customWidth="1"/>
    <col min="9521" max="9521" width="34.5703125" style="4" customWidth="1"/>
    <col min="9522" max="9522" width="30.28515625" style="4" customWidth="1"/>
    <col min="9523" max="9523" width="12.5703125" style="4" customWidth="1"/>
    <col min="9524" max="9530" width="11.42578125" style="4"/>
    <col min="9531" max="9531" width="34.28515625" style="4" customWidth="1"/>
    <col min="9532" max="9728" width="11.42578125" style="4"/>
    <col min="9729" max="9729" width="19.42578125" style="4" bestFit="1" customWidth="1"/>
    <col min="9730" max="9730" width="23.28515625" style="4" bestFit="1" customWidth="1"/>
    <col min="9731" max="9731" width="35.5703125" style="4" bestFit="1" customWidth="1"/>
    <col min="9732" max="9732" width="42.42578125" style="4" customWidth="1"/>
    <col min="9733" max="9733" width="27.5703125" style="4" customWidth="1"/>
    <col min="9734" max="9734" width="18.28515625" style="4" customWidth="1"/>
    <col min="9735" max="9735" width="25.5703125" style="4" customWidth="1"/>
    <col min="9736" max="9736" width="26.5703125" style="4" customWidth="1"/>
    <col min="9737" max="9737" width="31.42578125" style="4" customWidth="1"/>
    <col min="9738" max="9738" width="26.5703125" style="4" customWidth="1"/>
    <col min="9739" max="9739" width="17.42578125" style="4" bestFit="1" customWidth="1"/>
    <col min="9740" max="9740" width="10.28515625" style="4" customWidth="1"/>
    <col min="9741" max="9741" width="19" style="4" customWidth="1"/>
    <col min="9742" max="9742" width="16" style="4" customWidth="1"/>
    <col min="9743" max="9744" width="13.5703125" style="4" customWidth="1"/>
    <col min="9745" max="9745" width="20.28515625" style="4" customWidth="1"/>
    <col min="9746" max="9746" width="9.140625" style="4" customWidth="1"/>
    <col min="9747" max="9747" width="9" style="4" customWidth="1"/>
    <col min="9748" max="9748" width="10.140625" style="4" customWidth="1"/>
    <col min="9749" max="9749" width="9.28515625" style="4" customWidth="1"/>
    <col min="9750" max="9750" width="9" style="4" customWidth="1"/>
    <col min="9751" max="9752" width="10.28515625" style="4" customWidth="1"/>
    <col min="9753" max="9753" width="10.140625" style="4" customWidth="1"/>
    <col min="9754" max="9754" width="10.28515625" style="4" customWidth="1"/>
    <col min="9755" max="9755" width="10.140625" style="4" customWidth="1"/>
    <col min="9756" max="9756" width="9.140625" style="4" customWidth="1"/>
    <col min="9757" max="9757" width="9" style="4" customWidth="1"/>
    <col min="9758" max="9758" width="10.140625" style="4" customWidth="1"/>
    <col min="9759" max="9759" width="9.28515625" style="4" customWidth="1"/>
    <col min="9760" max="9760" width="9" style="4" customWidth="1"/>
    <col min="9761" max="9762" width="10.28515625" style="4" customWidth="1"/>
    <col min="9763" max="9763" width="10.140625" style="4" customWidth="1"/>
    <col min="9764" max="9764" width="10.28515625" style="4" customWidth="1"/>
    <col min="9765" max="9765" width="10.140625" style="4" customWidth="1"/>
    <col min="9766" max="9766" width="9.140625" style="4" customWidth="1"/>
    <col min="9767" max="9767" width="9" style="4" customWidth="1"/>
    <col min="9768" max="9768" width="10.140625" style="4" customWidth="1"/>
    <col min="9769" max="9769" width="9.28515625" style="4" customWidth="1"/>
    <col min="9770" max="9770" width="9" style="4" customWidth="1"/>
    <col min="9771" max="9772" width="10.28515625" style="4" customWidth="1"/>
    <col min="9773" max="9773" width="10.140625" style="4" customWidth="1"/>
    <col min="9774" max="9774" width="10.28515625" style="4" customWidth="1"/>
    <col min="9775" max="9775" width="10.140625" style="4" customWidth="1"/>
    <col min="9776" max="9776" width="38.28515625" style="4" customWidth="1"/>
    <col min="9777" max="9777" width="34.5703125" style="4" customWidth="1"/>
    <col min="9778" max="9778" width="30.28515625" style="4" customWidth="1"/>
    <col min="9779" max="9779" width="12.5703125" style="4" customWidth="1"/>
    <col min="9780" max="9786" width="11.42578125" style="4"/>
    <col min="9787" max="9787" width="34.28515625" style="4" customWidth="1"/>
    <col min="9788" max="9984" width="11.42578125" style="4"/>
    <col min="9985" max="9985" width="19.42578125" style="4" bestFit="1" customWidth="1"/>
    <col min="9986" max="9986" width="23.28515625" style="4" bestFit="1" customWidth="1"/>
    <col min="9987" max="9987" width="35.5703125" style="4" bestFit="1" customWidth="1"/>
    <col min="9988" max="9988" width="42.42578125" style="4" customWidth="1"/>
    <col min="9989" max="9989" width="27.5703125" style="4" customWidth="1"/>
    <col min="9990" max="9990" width="18.28515625" style="4" customWidth="1"/>
    <col min="9991" max="9991" width="25.5703125" style="4" customWidth="1"/>
    <col min="9992" max="9992" width="26.5703125" style="4" customWidth="1"/>
    <col min="9993" max="9993" width="31.42578125" style="4" customWidth="1"/>
    <col min="9994" max="9994" width="26.5703125" style="4" customWidth="1"/>
    <col min="9995" max="9995" width="17.42578125" style="4" bestFit="1" customWidth="1"/>
    <col min="9996" max="9996" width="10.28515625" style="4" customWidth="1"/>
    <col min="9997" max="9997" width="19" style="4" customWidth="1"/>
    <col min="9998" max="9998" width="16" style="4" customWidth="1"/>
    <col min="9999" max="10000" width="13.5703125" style="4" customWidth="1"/>
    <col min="10001" max="10001" width="20.28515625" style="4" customWidth="1"/>
    <col min="10002" max="10002" width="9.140625" style="4" customWidth="1"/>
    <col min="10003" max="10003" width="9" style="4" customWidth="1"/>
    <col min="10004" max="10004" width="10.140625" style="4" customWidth="1"/>
    <col min="10005" max="10005" width="9.28515625" style="4" customWidth="1"/>
    <col min="10006" max="10006" width="9" style="4" customWidth="1"/>
    <col min="10007" max="10008" width="10.28515625" style="4" customWidth="1"/>
    <col min="10009" max="10009" width="10.140625" style="4" customWidth="1"/>
    <col min="10010" max="10010" width="10.28515625" style="4" customWidth="1"/>
    <col min="10011" max="10011" width="10.140625" style="4" customWidth="1"/>
    <col min="10012" max="10012" width="9.140625" style="4" customWidth="1"/>
    <col min="10013" max="10013" width="9" style="4" customWidth="1"/>
    <col min="10014" max="10014" width="10.140625" style="4" customWidth="1"/>
    <col min="10015" max="10015" width="9.28515625" style="4" customWidth="1"/>
    <col min="10016" max="10016" width="9" style="4" customWidth="1"/>
    <col min="10017" max="10018" width="10.28515625" style="4" customWidth="1"/>
    <col min="10019" max="10019" width="10.140625" style="4" customWidth="1"/>
    <col min="10020" max="10020" width="10.28515625" style="4" customWidth="1"/>
    <col min="10021" max="10021" width="10.140625" style="4" customWidth="1"/>
    <col min="10022" max="10022" width="9.140625" style="4" customWidth="1"/>
    <col min="10023" max="10023" width="9" style="4" customWidth="1"/>
    <col min="10024" max="10024" width="10.140625" style="4" customWidth="1"/>
    <col min="10025" max="10025" width="9.28515625" style="4" customWidth="1"/>
    <col min="10026" max="10026" width="9" style="4" customWidth="1"/>
    <col min="10027" max="10028" width="10.28515625" style="4" customWidth="1"/>
    <col min="10029" max="10029" width="10.140625" style="4" customWidth="1"/>
    <col min="10030" max="10030" width="10.28515625" style="4" customWidth="1"/>
    <col min="10031" max="10031" width="10.140625" style="4" customWidth="1"/>
    <col min="10032" max="10032" width="38.28515625" style="4" customWidth="1"/>
    <col min="10033" max="10033" width="34.5703125" style="4" customWidth="1"/>
    <col min="10034" max="10034" width="30.28515625" style="4" customWidth="1"/>
    <col min="10035" max="10035" width="12.5703125" style="4" customWidth="1"/>
    <col min="10036" max="10042" width="11.42578125" style="4"/>
    <col min="10043" max="10043" width="34.28515625" style="4" customWidth="1"/>
    <col min="10044" max="10240" width="11.42578125" style="4"/>
    <col min="10241" max="10241" width="19.42578125" style="4" bestFit="1" customWidth="1"/>
    <col min="10242" max="10242" width="23.28515625" style="4" bestFit="1" customWidth="1"/>
    <col min="10243" max="10243" width="35.5703125" style="4" bestFit="1" customWidth="1"/>
    <col min="10244" max="10244" width="42.42578125" style="4" customWidth="1"/>
    <col min="10245" max="10245" width="27.5703125" style="4" customWidth="1"/>
    <col min="10246" max="10246" width="18.28515625" style="4" customWidth="1"/>
    <col min="10247" max="10247" width="25.5703125" style="4" customWidth="1"/>
    <col min="10248" max="10248" width="26.5703125" style="4" customWidth="1"/>
    <col min="10249" max="10249" width="31.42578125" style="4" customWidth="1"/>
    <col min="10250" max="10250" width="26.5703125" style="4" customWidth="1"/>
    <col min="10251" max="10251" width="17.42578125" style="4" bestFit="1" customWidth="1"/>
    <col min="10252" max="10252" width="10.28515625" style="4" customWidth="1"/>
    <col min="10253" max="10253" width="19" style="4" customWidth="1"/>
    <col min="10254" max="10254" width="16" style="4" customWidth="1"/>
    <col min="10255" max="10256" width="13.5703125" style="4" customWidth="1"/>
    <col min="10257" max="10257" width="20.28515625" style="4" customWidth="1"/>
    <col min="10258" max="10258" width="9.140625" style="4" customWidth="1"/>
    <col min="10259" max="10259" width="9" style="4" customWidth="1"/>
    <col min="10260" max="10260" width="10.140625" style="4" customWidth="1"/>
    <col min="10261" max="10261" width="9.28515625" style="4" customWidth="1"/>
    <col min="10262" max="10262" width="9" style="4" customWidth="1"/>
    <col min="10263" max="10264" width="10.28515625" style="4" customWidth="1"/>
    <col min="10265" max="10265" width="10.140625" style="4" customWidth="1"/>
    <col min="10266" max="10266" width="10.28515625" style="4" customWidth="1"/>
    <col min="10267" max="10267" width="10.140625" style="4" customWidth="1"/>
    <col min="10268" max="10268" width="9.140625" style="4" customWidth="1"/>
    <col min="10269" max="10269" width="9" style="4" customWidth="1"/>
    <col min="10270" max="10270" width="10.140625" style="4" customWidth="1"/>
    <col min="10271" max="10271" width="9.28515625" style="4" customWidth="1"/>
    <col min="10272" max="10272" width="9" style="4" customWidth="1"/>
    <col min="10273" max="10274" width="10.28515625" style="4" customWidth="1"/>
    <col min="10275" max="10275" width="10.140625" style="4" customWidth="1"/>
    <col min="10276" max="10276" width="10.28515625" style="4" customWidth="1"/>
    <col min="10277" max="10277" width="10.140625" style="4" customWidth="1"/>
    <col min="10278" max="10278" width="9.140625" style="4" customWidth="1"/>
    <col min="10279" max="10279" width="9" style="4" customWidth="1"/>
    <col min="10280" max="10280" width="10.140625" style="4" customWidth="1"/>
    <col min="10281" max="10281" width="9.28515625" style="4" customWidth="1"/>
    <col min="10282" max="10282" width="9" style="4" customWidth="1"/>
    <col min="10283" max="10284" width="10.28515625" style="4" customWidth="1"/>
    <col min="10285" max="10285" width="10.140625" style="4" customWidth="1"/>
    <col min="10286" max="10286" width="10.28515625" style="4" customWidth="1"/>
    <col min="10287" max="10287" width="10.140625" style="4" customWidth="1"/>
    <col min="10288" max="10288" width="38.28515625" style="4" customWidth="1"/>
    <col min="10289" max="10289" width="34.5703125" style="4" customWidth="1"/>
    <col min="10290" max="10290" width="30.28515625" style="4" customWidth="1"/>
    <col min="10291" max="10291" width="12.5703125" style="4" customWidth="1"/>
    <col min="10292" max="10298" width="11.42578125" style="4"/>
    <col min="10299" max="10299" width="34.28515625" style="4" customWidth="1"/>
    <col min="10300" max="10496" width="11.42578125" style="4"/>
    <col min="10497" max="10497" width="19.42578125" style="4" bestFit="1" customWidth="1"/>
    <col min="10498" max="10498" width="23.28515625" style="4" bestFit="1" customWidth="1"/>
    <col min="10499" max="10499" width="35.5703125" style="4" bestFit="1" customWidth="1"/>
    <col min="10500" max="10500" width="42.42578125" style="4" customWidth="1"/>
    <col min="10501" max="10501" width="27.5703125" style="4" customWidth="1"/>
    <col min="10502" max="10502" width="18.28515625" style="4" customWidth="1"/>
    <col min="10503" max="10503" width="25.5703125" style="4" customWidth="1"/>
    <col min="10504" max="10504" width="26.5703125" style="4" customWidth="1"/>
    <col min="10505" max="10505" width="31.42578125" style="4" customWidth="1"/>
    <col min="10506" max="10506" width="26.5703125" style="4" customWidth="1"/>
    <col min="10507" max="10507" width="17.42578125" style="4" bestFit="1" customWidth="1"/>
    <col min="10508" max="10508" width="10.28515625" style="4" customWidth="1"/>
    <col min="10509" max="10509" width="19" style="4" customWidth="1"/>
    <col min="10510" max="10510" width="16" style="4" customWidth="1"/>
    <col min="10511" max="10512" width="13.5703125" style="4" customWidth="1"/>
    <col min="10513" max="10513" width="20.28515625" style="4" customWidth="1"/>
    <col min="10514" max="10514" width="9.140625" style="4" customWidth="1"/>
    <col min="10515" max="10515" width="9" style="4" customWidth="1"/>
    <col min="10516" max="10516" width="10.140625" style="4" customWidth="1"/>
    <col min="10517" max="10517" width="9.28515625" style="4" customWidth="1"/>
    <col min="10518" max="10518" width="9" style="4" customWidth="1"/>
    <col min="10519" max="10520" width="10.28515625" style="4" customWidth="1"/>
    <col min="10521" max="10521" width="10.140625" style="4" customWidth="1"/>
    <col min="10522" max="10522" width="10.28515625" style="4" customWidth="1"/>
    <col min="10523" max="10523" width="10.140625" style="4" customWidth="1"/>
    <col min="10524" max="10524" width="9.140625" style="4" customWidth="1"/>
    <col min="10525" max="10525" width="9" style="4" customWidth="1"/>
    <col min="10526" max="10526" width="10.140625" style="4" customWidth="1"/>
    <col min="10527" max="10527" width="9.28515625" style="4" customWidth="1"/>
    <col min="10528" max="10528" width="9" style="4" customWidth="1"/>
    <col min="10529" max="10530" width="10.28515625" style="4" customWidth="1"/>
    <col min="10531" max="10531" width="10.140625" style="4" customWidth="1"/>
    <col min="10532" max="10532" width="10.28515625" style="4" customWidth="1"/>
    <col min="10533" max="10533" width="10.140625" style="4" customWidth="1"/>
    <col min="10534" max="10534" width="9.140625" style="4" customWidth="1"/>
    <col min="10535" max="10535" width="9" style="4" customWidth="1"/>
    <col min="10536" max="10536" width="10.140625" style="4" customWidth="1"/>
    <col min="10537" max="10537" width="9.28515625" style="4" customWidth="1"/>
    <col min="10538" max="10538" width="9" style="4" customWidth="1"/>
    <col min="10539" max="10540" width="10.28515625" style="4" customWidth="1"/>
    <col min="10541" max="10541" width="10.140625" style="4" customWidth="1"/>
    <col min="10542" max="10542" width="10.28515625" style="4" customWidth="1"/>
    <col min="10543" max="10543" width="10.140625" style="4" customWidth="1"/>
    <col min="10544" max="10544" width="38.28515625" style="4" customWidth="1"/>
    <col min="10545" max="10545" width="34.5703125" style="4" customWidth="1"/>
    <col min="10546" max="10546" width="30.28515625" style="4" customWidth="1"/>
    <col min="10547" max="10547" width="12.5703125" style="4" customWidth="1"/>
    <col min="10548" max="10554" width="11.42578125" style="4"/>
    <col min="10555" max="10555" width="34.28515625" style="4" customWidth="1"/>
    <col min="10556" max="10752" width="11.42578125" style="4"/>
    <col min="10753" max="10753" width="19.42578125" style="4" bestFit="1" customWidth="1"/>
    <col min="10754" max="10754" width="23.28515625" style="4" bestFit="1" customWidth="1"/>
    <col min="10755" max="10755" width="35.5703125" style="4" bestFit="1" customWidth="1"/>
    <col min="10756" max="10756" width="42.42578125" style="4" customWidth="1"/>
    <col min="10757" max="10757" width="27.5703125" style="4" customWidth="1"/>
    <col min="10758" max="10758" width="18.28515625" style="4" customWidth="1"/>
    <col min="10759" max="10759" width="25.5703125" style="4" customWidth="1"/>
    <col min="10760" max="10760" width="26.5703125" style="4" customWidth="1"/>
    <col min="10761" max="10761" width="31.42578125" style="4" customWidth="1"/>
    <col min="10762" max="10762" width="26.5703125" style="4" customWidth="1"/>
    <col min="10763" max="10763" width="17.42578125" style="4" bestFit="1" customWidth="1"/>
    <col min="10764" max="10764" width="10.28515625" style="4" customWidth="1"/>
    <col min="10765" max="10765" width="19" style="4" customWidth="1"/>
    <col min="10766" max="10766" width="16" style="4" customWidth="1"/>
    <col min="10767" max="10768" width="13.5703125" style="4" customWidth="1"/>
    <col min="10769" max="10769" width="20.28515625" style="4" customWidth="1"/>
    <col min="10770" max="10770" width="9.140625" style="4" customWidth="1"/>
    <col min="10771" max="10771" width="9" style="4" customWidth="1"/>
    <col min="10772" max="10772" width="10.140625" style="4" customWidth="1"/>
    <col min="10773" max="10773" width="9.28515625" style="4" customWidth="1"/>
    <col min="10774" max="10774" width="9" style="4" customWidth="1"/>
    <col min="10775" max="10776" width="10.28515625" style="4" customWidth="1"/>
    <col min="10777" max="10777" width="10.140625" style="4" customWidth="1"/>
    <col min="10778" max="10778" width="10.28515625" style="4" customWidth="1"/>
    <col min="10779" max="10779" width="10.140625" style="4" customWidth="1"/>
    <col min="10780" max="10780" width="9.140625" style="4" customWidth="1"/>
    <col min="10781" max="10781" width="9" style="4" customWidth="1"/>
    <col min="10782" max="10782" width="10.140625" style="4" customWidth="1"/>
    <col min="10783" max="10783" width="9.28515625" style="4" customWidth="1"/>
    <col min="10784" max="10784" width="9" style="4" customWidth="1"/>
    <col min="10785" max="10786" width="10.28515625" style="4" customWidth="1"/>
    <col min="10787" max="10787" width="10.140625" style="4" customWidth="1"/>
    <col min="10788" max="10788" width="10.28515625" style="4" customWidth="1"/>
    <col min="10789" max="10789" width="10.140625" style="4" customWidth="1"/>
    <col min="10790" max="10790" width="9.140625" style="4" customWidth="1"/>
    <col min="10791" max="10791" width="9" style="4" customWidth="1"/>
    <col min="10792" max="10792" width="10.140625" style="4" customWidth="1"/>
    <col min="10793" max="10793" width="9.28515625" style="4" customWidth="1"/>
    <col min="10794" max="10794" width="9" style="4" customWidth="1"/>
    <col min="10795" max="10796" width="10.28515625" style="4" customWidth="1"/>
    <col min="10797" max="10797" width="10.140625" style="4" customWidth="1"/>
    <col min="10798" max="10798" width="10.28515625" style="4" customWidth="1"/>
    <col min="10799" max="10799" width="10.140625" style="4" customWidth="1"/>
    <col min="10800" max="10800" width="38.28515625" style="4" customWidth="1"/>
    <col min="10801" max="10801" width="34.5703125" style="4" customWidth="1"/>
    <col min="10802" max="10802" width="30.28515625" style="4" customWidth="1"/>
    <col min="10803" max="10803" width="12.5703125" style="4" customWidth="1"/>
    <col min="10804" max="10810" width="11.42578125" style="4"/>
    <col min="10811" max="10811" width="34.28515625" style="4" customWidth="1"/>
    <col min="10812" max="11008" width="11.42578125" style="4"/>
    <col min="11009" max="11009" width="19.42578125" style="4" bestFit="1" customWidth="1"/>
    <col min="11010" max="11010" width="23.28515625" style="4" bestFit="1" customWidth="1"/>
    <col min="11011" max="11011" width="35.5703125" style="4" bestFit="1" customWidth="1"/>
    <col min="11012" max="11012" width="42.42578125" style="4" customWidth="1"/>
    <col min="11013" max="11013" width="27.5703125" style="4" customWidth="1"/>
    <col min="11014" max="11014" width="18.28515625" style="4" customWidth="1"/>
    <col min="11015" max="11015" width="25.5703125" style="4" customWidth="1"/>
    <col min="11016" max="11016" width="26.5703125" style="4" customWidth="1"/>
    <col min="11017" max="11017" width="31.42578125" style="4" customWidth="1"/>
    <col min="11018" max="11018" width="26.5703125" style="4" customWidth="1"/>
    <col min="11019" max="11019" width="17.42578125" style="4" bestFit="1" customWidth="1"/>
    <col min="11020" max="11020" width="10.28515625" style="4" customWidth="1"/>
    <col min="11021" max="11021" width="19" style="4" customWidth="1"/>
    <col min="11022" max="11022" width="16" style="4" customWidth="1"/>
    <col min="11023" max="11024" width="13.5703125" style="4" customWidth="1"/>
    <col min="11025" max="11025" width="20.28515625" style="4" customWidth="1"/>
    <col min="11026" max="11026" width="9.140625" style="4" customWidth="1"/>
    <col min="11027" max="11027" width="9" style="4" customWidth="1"/>
    <col min="11028" max="11028" width="10.140625" style="4" customWidth="1"/>
    <col min="11029" max="11029" width="9.28515625" style="4" customWidth="1"/>
    <col min="11030" max="11030" width="9" style="4" customWidth="1"/>
    <col min="11031" max="11032" width="10.28515625" style="4" customWidth="1"/>
    <col min="11033" max="11033" width="10.140625" style="4" customWidth="1"/>
    <col min="11034" max="11034" width="10.28515625" style="4" customWidth="1"/>
    <col min="11035" max="11035" width="10.140625" style="4" customWidth="1"/>
    <col min="11036" max="11036" width="9.140625" style="4" customWidth="1"/>
    <col min="11037" max="11037" width="9" style="4" customWidth="1"/>
    <col min="11038" max="11038" width="10.140625" style="4" customWidth="1"/>
    <col min="11039" max="11039" width="9.28515625" style="4" customWidth="1"/>
    <col min="11040" max="11040" width="9" style="4" customWidth="1"/>
    <col min="11041" max="11042" width="10.28515625" style="4" customWidth="1"/>
    <col min="11043" max="11043" width="10.140625" style="4" customWidth="1"/>
    <col min="11044" max="11044" width="10.28515625" style="4" customWidth="1"/>
    <col min="11045" max="11045" width="10.140625" style="4" customWidth="1"/>
    <col min="11046" max="11046" width="9.140625" style="4" customWidth="1"/>
    <col min="11047" max="11047" width="9" style="4" customWidth="1"/>
    <col min="11048" max="11048" width="10.140625" style="4" customWidth="1"/>
    <col min="11049" max="11049" width="9.28515625" style="4" customWidth="1"/>
    <col min="11050" max="11050" width="9" style="4" customWidth="1"/>
    <col min="11051" max="11052" width="10.28515625" style="4" customWidth="1"/>
    <col min="11053" max="11053" width="10.140625" style="4" customWidth="1"/>
    <col min="11054" max="11054" width="10.28515625" style="4" customWidth="1"/>
    <col min="11055" max="11055" width="10.140625" style="4" customWidth="1"/>
    <col min="11056" max="11056" width="38.28515625" style="4" customWidth="1"/>
    <col min="11057" max="11057" width="34.5703125" style="4" customWidth="1"/>
    <col min="11058" max="11058" width="30.28515625" style="4" customWidth="1"/>
    <col min="11059" max="11059" width="12.5703125" style="4" customWidth="1"/>
    <col min="11060" max="11066" width="11.42578125" style="4"/>
    <col min="11067" max="11067" width="34.28515625" style="4" customWidth="1"/>
    <col min="11068" max="11264" width="11.42578125" style="4"/>
    <col min="11265" max="11265" width="19.42578125" style="4" bestFit="1" customWidth="1"/>
    <col min="11266" max="11266" width="23.28515625" style="4" bestFit="1" customWidth="1"/>
    <col min="11267" max="11267" width="35.5703125" style="4" bestFit="1" customWidth="1"/>
    <col min="11268" max="11268" width="42.42578125" style="4" customWidth="1"/>
    <col min="11269" max="11269" width="27.5703125" style="4" customWidth="1"/>
    <col min="11270" max="11270" width="18.28515625" style="4" customWidth="1"/>
    <col min="11271" max="11271" width="25.5703125" style="4" customWidth="1"/>
    <col min="11272" max="11272" width="26.5703125" style="4" customWidth="1"/>
    <col min="11273" max="11273" width="31.42578125" style="4" customWidth="1"/>
    <col min="11274" max="11274" width="26.5703125" style="4" customWidth="1"/>
    <col min="11275" max="11275" width="17.42578125" style="4" bestFit="1" customWidth="1"/>
    <col min="11276" max="11276" width="10.28515625" style="4" customWidth="1"/>
    <col min="11277" max="11277" width="19" style="4" customWidth="1"/>
    <col min="11278" max="11278" width="16" style="4" customWidth="1"/>
    <col min="11279" max="11280" width="13.5703125" style="4" customWidth="1"/>
    <col min="11281" max="11281" width="20.28515625" style="4" customWidth="1"/>
    <col min="11282" max="11282" width="9.140625" style="4" customWidth="1"/>
    <col min="11283" max="11283" width="9" style="4" customWidth="1"/>
    <col min="11284" max="11284" width="10.140625" style="4" customWidth="1"/>
    <col min="11285" max="11285" width="9.28515625" style="4" customWidth="1"/>
    <col min="11286" max="11286" width="9" style="4" customWidth="1"/>
    <col min="11287" max="11288" width="10.28515625" style="4" customWidth="1"/>
    <col min="11289" max="11289" width="10.140625" style="4" customWidth="1"/>
    <col min="11290" max="11290" width="10.28515625" style="4" customWidth="1"/>
    <col min="11291" max="11291" width="10.140625" style="4" customWidth="1"/>
    <col min="11292" max="11292" width="9.140625" style="4" customWidth="1"/>
    <col min="11293" max="11293" width="9" style="4" customWidth="1"/>
    <col min="11294" max="11294" width="10.140625" style="4" customWidth="1"/>
    <col min="11295" max="11295" width="9.28515625" style="4" customWidth="1"/>
    <col min="11296" max="11296" width="9" style="4" customWidth="1"/>
    <col min="11297" max="11298" width="10.28515625" style="4" customWidth="1"/>
    <col min="11299" max="11299" width="10.140625" style="4" customWidth="1"/>
    <col min="11300" max="11300" width="10.28515625" style="4" customWidth="1"/>
    <col min="11301" max="11301" width="10.140625" style="4" customWidth="1"/>
    <col min="11302" max="11302" width="9.140625" style="4" customWidth="1"/>
    <col min="11303" max="11303" width="9" style="4" customWidth="1"/>
    <col min="11304" max="11304" width="10.140625" style="4" customWidth="1"/>
    <col min="11305" max="11305" width="9.28515625" style="4" customWidth="1"/>
    <col min="11306" max="11306" width="9" style="4" customWidth="1"/>
    <col min="11307" max="11308" width="10.28515625" style="4" customWidth="1"/>
    <col min="11309" max="11309" width="10.140625" style="4" customWidth="1"/>
    <col min="11310" max="11310" width="10.28515625" style="4" customWidth="1"/>
    <col min="11311" max="11311" width="10.140625" style="4" customWidth="1"/>
    <col min="11312" max="11312" width="38.28515625" style="4" customWidth="1"/>
    <col min="11313" max="11313" width="34.5703125" style="4" customWidth="1"/>
    <col min="11314" max="11314" width="30.28515625" style="4" customWidth="1"/>
    <col min="11315" max="11315" width="12.5703125" style="4" customWidth="1"/>
    <col min="11316" max="11322" width="11.42578125" style="4"/>
    <col min="11323" max="11323" width="34.28515625" style="4" customWidth="1"/>
    <col min="11324" max="11520" width="11.42578125" style="4"/>
    <col min="11521" max="11521" width="19.42578125" style="4" bestFit="1" customWidth="1"/>
    <col min="11522" max="11522" width="23.28515625" style="4" bestFit="1" customWidth="1"/>
    <col min="11523" max="11523" width="35.5703125" style="4" bestFit="1" customWidth="1"/>
    <col min="11524" max="11524" width="42.42578125" style="4" customWidth="1"/>
    <col min="11525" max="11525" width="27.5703125" style="4" customWidth="1"/>
    <col min="11526" max="11526" width="18.28515625" style="4" customWidth="1"/>
    <col min="11527" max="11527" width="25.5703125" style="4" customWidth="1"/>
    <col min="11528" max="11528" width="26.5703125" style="4" customWidth="1"/>
    <col min="11529" max="11529" width="31.42578125" style="4" customWidth="1"/>
    <col min="11530" max="11530" width="26.5703125" style="4" customWidth="1"/>
    <col min="11531" max="11531" width="17.42578125" style="4" bestFit="1" customWidth="1"/>
    <col min="11532" max="11532" width="10.28515625" style="4" customWidth="1"/>
    <col min="11533" max="11533" width="19" style="4" customWidth="1"/>
    <col min="11534" max="11534" width="16" style="4" customWidth="1"/>
    <col min="11535" max="11536" width="13.5703125" style="4" customWidth="1"/>
    <col min="11537" max="11537" width="20.28515625" style="4" customWidth="1"/>
    <col min="11538" max="11538" width="9.140625" style="4" customWidth="1"/>
    <col min="11539" max="11539" width="9" style="4" customWidth="1"/>
    <col min="11540" max="11540" width="10.140625" style="4" customWidth="1"/>
    <col min="11541" max="11541" width="9.28515625" style="4" customWidth="1"/>
    <col min="11542" max="11542" width="9" style="4" customWidth="1"/>
    <col min="11543" max="11544" width="10.28515625" style="4" customWidth="1"/>
    <col min="11545" max="11545" width="10.140625" style="4" customWidth="1"/>
    <col min="11546" max="11546" width="10.28515625" style="4" customWidth="1"/>
    <col min="11547" max="11547" width="10.140625" style="4" customWidth="1"/>
    <col min="11548" max="11548" width="9.140625" style="4" customWidth="1"/>
    <col min="11549" max="11549" width="9" style="4" customWidth="1"/>
    <col min="11550" max="11550" width="10.140625" style="4" customWidth="1"/>
    <col min="11551" max="11551" width="9.28515625" style="4" customWidth="1"/>
    <col min="11552" max="11552" width="9" style="4" customWidth="1"/>
    <col min="11553" max="11554" width="10.28515625" style="4" customWidth="1"/>
    <col min="11555" max="11555" width="10.140625" style="4" customWidth="1"/>
    <col min="11556" max="11556" width="10.28515625" style="4" customWidth="1"/>
    <col min="11557" max="11557" width="10.140625" style="4" customWidth="1"/>
    <col min="11558" max="11558" width="9.140625" style="4" customWidth="1"/>
    <col min="11559" max="11559" width="9" style="4" customWidth="1"/>
    <col min="11560" max="11560" width="10.140625" style="4" customWidth="1"/>
    <col min="11561" max="11561" width="9.28515625" style="4" customWidth="1"/>
    <col min="11562" max="11562" width="9" style="4" customWidth="1"/>
    <col min="11563" max="11564" width="10.28515625" style="4" customWidth="1"/>
    <col min="11565" max="11565" width="10.140625" style="4" customWidth="1"/>
    <col min="11566" max="11566" width="10.28515625" style="4" customWidth="1"/>
    <col min="11567" max="11567" width="10.140625" style="4" customWidth="1"/>
    <col min="11568" max="11568" width="38.28515625" style="4" customWidth="1"/>
    <col min="11569" max="11569" width="34.5703125" style="4" customWidth="1"/>
    <col min="11570" max="11570" width="30.28515625" style="4" customWidth="1"/>
    <col min="11571" max="11571" width="12.5703125" style="4" customWidth="1"/>
    <col min="11572" max="11578" width="11.42578125" style="4"/>
    <col min="11579" max="11579" width="34.28515625" style="4" customWidth="1"/>
    <col min="11580" max="11776" width="11.42578125" style="4"/>
    <col min="11777" max="11777" width="19.42578125" style="4" bestFit="1" customWidth="1"/>
    <col min="11778" max="11778" width="23.28515625" style="4" bestFit="1" customWidth="1"/>
    <col min="11779" max="11779" width="35.5703125" style="4" bestFit="1" customWidth="1"/>
    <col min="11780" max="11780" width="42.42578125" style="4" customWidth="1"/>
    <col min="11781" max="11781" width="27.5703125" style="4" customWidth="1"/>
    <col min="11782" max="11782" width="18.28515625" style="4" customWidth="1"/>
    <col min="11783" max="11783" width="25.5703125" style="4" customWidth="1"/>
    <col min="11784" max="11784" width="26.5703125" style="4" customWidth="1"/>
    <col min="11785" max="11785" width="31.42578125" style="4" customWidth="1"/>
    <col min="11786" max="11786" width="26.5703125" style="4" customWidth="1"/>
    <col min="11787" max="11787" width="17.42578125" style="4" bestFit="1" customWidth="1"/>
    <col min="11788" max="11788" width="10.28515625" style="4" customWidth="1"/>
    <col min="11789" max="11789" width="19" style="4" customWidth="1"/>
    <col min="11790" max="11790" width="16" style="4" customWidth="1"/>
    <col min="11791" max="11792" width="13.5703125" style="4" customWidth="1"/>
    <col min="11793" max="11793" width="20.28515625" style="4" customWidth="1"/>
    <col min="11794" max="11794" width="9.140625" style="4" customWidth="1"/>
    <col min="11795" max="11795" width="9" style="4" customWidth="1"/>
    <col min="11796" max="11796" width="10.140625" style="4" customWidth="1"/>
    <col min="11797" max="11797" width="9.28515625" style="4" customWidth="1"/>
    <col min="11798" max="11798" width="9" style="4" customWidth="1"/>
    <col min="11799" max="11800" width="10.28515625" style="4" customWidth="1"/>
    <col min="11801" max="11801" width="10.140625" style="4" customWidth="1"/>
    <col min="11802" max="11802" width="10.28515625" style="4" customWidth="1"/>
    <col min="11803" max="11803" width="10.140625" style="4" customWidth="1"/>
    <col min="11804" max="11804" width="9.140625" style="4" customWidth="1"/>
    <col min="11805" max="11805" width="9" style="4" customWidth="1"/>
    <col min="11806" max="11806" width="10.140625" style="4" customWidth="1"/>
    <col min="11807" max="11807" width="9.28515625" style="4" customWidth="1"/>
    <col min="11808" max="11808" width="9" style="4" customWidth="1"/>
    <col min="11809" max="11810" width="10.28515625" style="4" customWidth="1"/>
    <col min="11811" max="11811" width="10.140625" style="4" customWidth="1"/>
    <col min="11812" max="11812" width="10.28515625" style="4" customWidth="1"/>
    <col min="11813" max="11813" width="10.140625" style="4" customWidth="1"/>
    <col min="11814" max="11814" width="9.140625" style="4" customWidth="1"/>
    <col min="11815" max="11815" width="9" style="4" customWidth="1"/>
    <col min="11816" max="11816" width="10.140625" style="4" customWidth="1"/>
    <col min="11817" max="11817" width="9.28515625" style="4" customWidth="1"/>
    <col min="11818" max="11818" width="9" style="4" customWidth="1"/>
    <col min="11819" max="11820" width="10.28515625" style="4" customWidth="1"/>
    <col min="11821" max="11821" width="10.140625" style="4" customWidth="1"/>
    <col min="11822" max="11822" width="10.28515625" style="4" customWidth="1"/>
    <col min="11823" max="11823" width="10.140625" style="4" customWidth="1"/>
    <col min="11824" max="11824" width="38.28515625" style="4" customWidth="1"/>
    <col min="11825" max="11825" width="34.5703125" style="4" customWidth="1"/>
    <col min="11826" max="11826" width="30.28515625" style="4" customWidth="1"/>
    <col min="11827" max="11827" width="12.5703125" style="4" customWidth="1"/>
    <col min="11828" max="11834" width="11.42578125" style="4"/>
    <col min="11835" max="11835" width="34.28515625" style="4" customWidth="1"/>
    <col min="11836" max="12032" width="11.42578125" style="4"/>
    <col min="12033" max="12033" width="19.42578125" style="4" bestFit="1" customWidth="1"/>
    <col min="12034" max="12034" width="23.28515625" style="4" bestFit="1" customWidth="1"/>
    <col min="12035" max="12035" width="35.5703125" style="4" bestFit="1" customWidth="1"/>
    <col min="12036" max="12036" width="42.42578125" style="4" customWidth="1"/>
    <col min="12037" max="12037" width="27.5703125" style="4" customWidth="1"/>
    <col min="12038" max="12038" width="18.28515625" style="4" customWidth="1"/>
    <col min="12039" max="12039" width="25.5703125" style="4" customWidth="1"/>
    <col min="12040" max="12040" width="26.5703125" style="4" customWidth="1"/>
    <col min="12041" max="12041" width="31.42578125" style="4" customWidth="1"/>
    <col min="12042" max="12042" width="26.5703125" style="4" customWidth="1"/>
    <col min="12043" max="12043" width="17.42578125" style="4" bestFit="1" customWidth="1"/>
    <col min="12044" max="12044" width="10.28515625" style="4" customWidth="1"/>
    <col min="12045" max="12045" width="19" style="4" customWidth="1"/>
    <col min="12046" max="12046" width="16" style="4" customWidth="1"/>
    <col min="12047" max="12048" width="13.5703125" style="4" customWidth="1"/>
    <col min="12049" max="12049" width="20.28515625" style="4" customWidth="1"/>
    <col min="12050" max="12050" width="9.140625" style="4" customWidth="1"/>
    <col min="12051" max="12051" width="9" style="4" customWidth="1"/>
    <col min="12052" max="12052" width="10.140625" style="4" customWidth="1"/>
    <col min="12053" max="12053" width="9.28515625" style="4" customWidth="1"/>
    <col min="12054" max="12054" width="9" style="4" customWidth="1"/>
    <col min="12055" max="12056" width="10.28515625" style="4" customWidth="1"/>
    <col min="12057" max="12057" width="10.140625" style="4" customWidth="1"/>
    <col min="12058" max="12058" width="10.28515625" style="4" customWidth="1"/>
    <col min="12059" max="12059" width="10.140625" style="4" customWidth="1"/>
    <col min="12060" max="12060" width="9.140625" style="4" customWidth="1"/>
    <col min="12061" max="12061" width="9" style="4" customWidth="1"/>
    <col min="12062" max="12062" width="10.140625" style="4" customWidth="1"/>
    <col min="12063" max="12063" width="9.28515625" style="4" customWidth="1"/>
    <col min="12064" max="12064" width="9" style="4" customWidth="1"/>
    <col min="12065" max="12066" width="10.28515625" style="4" customWidth="1"/>
    <col min="12067" max="12067" width="10.140625" style="4" customWidth="1"/>
    <col min="12068" max="12068" width="10.28515625" style="4" customWidth="1"/>
    <col min="12069" max="12069" width="10.140625" style="4" customWidth="1"/>
    <col min="12070" max="12070" width="9.140625" style="4" customWidth="1"/>
    <col min="12071" max="12071" width="9" style="4" customWidth="1"/>
    <col min="12072" max="12072" width="10.140625" style="4" customWidth="1"/>
    <col min="12073" max="12073" width="9.28515625" style="4" customWidth="1"/>
    <col min="12074" max="12074" width="9" style="4" customWidth="1"/>
    <col min="12075" max="12076" width="10.28515625" style="4" customWidth="1"/>
    <col min="12077" max="12077" width="10.140625" style="4" customWidth="1"/>
    <col min="12078" max="12078" width="10.28515625" style="4" customWidth="1"/>
    <col min="12079" max="12079" width="10.140625" style="4" customWidth="1"/>
    <col min="12080" max="12080" width="38.28515625" style="4" customWidth="1"/>
    <col min="12081" max="12081" width="34.5703125" style="4" customWidth="1"/>
    <col min="12082" max="12082" width="30.28515625" style="4" customWidth="1"/>
    <col min="12083" max="12083" width="12.5703125" style="4" customWidth="1"/>
    <col min="12084" max="12090" width="11.42578125" style="4"/>
    <col min="12091" max="12091" width="34.28515625" style="4" customWidth="1"/>
    <col min="12092" max="12288" width="11.42578125" style="4"/>
    <col min="12289" max="12289" width="19.42578125" style="4" bestFit="1" customWidth="1"/>
    <col min="12290" max="12290" width="23.28515625" style="4" bestFit="1" customWidth="1"/>
    <col min="12291" max="12291" width="35.5703125" style="4" bestFit="1" customWidth="1"/>
    <col min="12292" max="12292" width="42.42578125" style="4" customWidth="1"/>
    <col min="12293" max="12293" width="27.5703125" style="4" customWidth="1"/>
    <col min="12294" max="12294" width="18.28515625" style="4" customWidth="1"/>
    <col min="12295" max="12295" width="25.5703125" style="4" customWidth="1"/>
    <col min="12296" max="12296" width="26.5703125" style="4" customWidth="1"/>
    <col min="12297" max="12297" width="31.42578125" style="4" customWidth="1"/>
    <col min="12298" max="12298" width="26.5703125" style="4" customWidth="1"/>
    <col min="12299" max="12299" width="17.42578125" style="4" bestFit="1" customWidth="1"/>
    <col min="12300" max="12300" width="10.28515625" style="4" customWidth="1"/>
    <col min="12301" max="12301" width="19" style="4" customWidth="1"/>
    <col min="12302" max="12302" width="16" style="4" customWidth="1"/>
    <col min="12303" max="12304" width="13.5703125" style="4" customWidth="1"/>
    <col min="12305" max="12305" width="20.28515625" style="4" customWidth="1"/>
    <col min="12306" max="12306" width="9.140625" style="4" customWidth="1"/>
    <col min="12307" max="12307" width="9" style="4" customWidth="1"/>
    <col min="12308" max="12308" width="10.140625" style="4" customWidth="1"/>
    <col min="12309" max="12309" width="9.28515625" style="4" customWidth="1"/>
    <col min="12310" max="12310" width="9" style="4" customWidth="1"/>
    <col min="12311" max="12312" width="10.28515625" style="4" customWidth="1"/>
    <col min="12313" max="12313" width="10.140625" style="4" customWidth="1"/>
    <col min="12314" max="12314" width="10.28515625" style="4" customWidth="1"/>
    <col min="12315" max="12315" width="10.140625" style="4" customWidth="1"/>
    <col min="12316" max="12316" width="9.140625" style="4" customWidth="1"/>
    <col min="12317" max="12317" width="9" style="4" customWidth="1"/>
    <col min="12318" max="12318" width="10.140625" style="4" customWidth="1"/>
    <col min="12319" max="12319" width="9.28515625" style="4" customWidth="1"/>
    <col min="12320" max="12320" width="9" style="4" customWidth="1"/>
    <col min="12321" max="12322" width="10.28515625" style="4" customWidth="1"/>
    <col min="12323" max="12323" width="10.140625" style="4" customWidth="1"/>
    <col min="12324" max="12324" width="10.28515625" style="4" customWidth="1"/>
    <col min="12325" max="12325" width="10.140625" style="4" customWidth="1"/>
    <col min="12326" max="12326" width="9.140625" style="4" customWidth="1"/>
    <col min="12327" max="12327" width="9" style="4" customWidth="1"/>
    <col min="12328" max="12328" width="10.140625" style="4" customWidth="1"/>
    <col min="12329" max="12329" width="9.28515625" style="4" customWidth="1"/>
    <col min="12330" max="12330" width="9" style="4" customWidth="1"/>
    <col min="12331" max="12332" width="10.28515625" style="4" customWidth="1"/>
    <col min="12333" max="12333" width="10.140625" style="4" customWidth="1"/>
    <col min="12334" max="12334" width="10.28515625" style="4" customWidth="1"/>
    <col min="12335" max="12335" width="10.140625" style="4" customWidth="1"/>
    <col min="12336" max="12336" width="38.28515625" style="4" customWidth="1"/>
    <col min="12337" max="12337" width="34.5703125" style="4" customWidth="1"/>
    <col min="12338" max="12338" width="30.28515625" style="4" customWidth="1"/>
    <col min="12339" max="12339" width="12.5703125" style="4" customWidth="1"/>
    <col min="12340" max="12346" width="11.42578125" style="4"/>
    <col min="12347" max="12347" width="34.28515625" style="4" customWidth="1"/>
    <col min="12348" max="12544" width="11.42578125" style="4"/>
    <col min="12545" max="12545" width="19.42578125" style="4" bestFit="1" customWidth="1"/>
    <col min="12546" max="12546" width="23.28515625" style="4" bestFit="1" customWidth="1"/>
    <col min="12547" max="12547" width="35.5703125" style="4" bestFit="1" customWidth="1"/>
    <col min="12548" max="12548" width="42.42578125" style="4" customWidth="1"/>
    <col min="12549" max="12549" width="27.5703125" style="4" customWidth="1"/>
    <col min="12550" max="12550" width="18.28515625" style="4" customWidth="1"/>
    <col min="12551" max="12551" width="25.5703125" style="4" customWidth="1"/>
    <col min="12552" max="12552" width="26.5703125" style="4" customWidth="1"/>
    <col min="12553" max="12553" width="31.42578125" style="4" customWidth="1"/>
    <col min="12554" max="12554" width="26.5703125" style="4" customWidth="1"/>
    <col min="12555" max="12555" width="17.42578125" style="4" bestFit="1" customWidth="1"/>
    <col min="12556" max="12556" width="10.28515625" style="4" customWidth="1"/>
    <col min="12557" max="12557" width="19" style="4" customWidth="1"/>
    <col min="12558" max="12558" width="16" style="4" customWidth="1"/>
    <col min="12559" max="12560" width="13.5703125" style="4" customWidth="1"/>
    <col min="12561" max="12561" width="20.28515625" style="4" customWidth="1"/>
    <col min="12562" max="12562" width="9.140625" style="4" customWidth="1"/>
    <col min="12563" max="12563" width="9" style="4" customWidth="1"/>
    <col min="12564" max="12564" width="10.140625" style="4" customWidth="1"/>
    <col min="12565" max="12565" width="9.28515625" style="4" customWidth="1"/>
    <col min="12566" max="12566" width="9" style="4" customWidth="1"/>
    <col min="12567" max="12568" width="10.28515625" style="4" customWidth="1"/>
    <col min="12569" max="12569" width="10.140625" style="4" customWidth="1"/>
    <col min="12570" max="12570" width="10.28515625" style="4" customWidth="1"/>
    <col min="12571" max="12571" width="10.140625" style="4" customWidth="1"/>
    <col min="12572" max="12572" width="9.140625" style="4" customWidth="1"/>
    <col min="12573" max="12573" width="9" style="4" customWidth="1"/>
    <col min="12574" max="12574" width="10.140625" style="4" customWidth="1"/>
    <col min="12575" max="12575" width="9.28515625" style="4" customWidth="1"/>
    <col min="12576" max="12576" width="9" style="4" customWidth="1"/>
    <col min="12577" max="12578" width="10.28515625" style="4" customWidth="1"/>
    <col min="12579" max="12579" width="10.140625" style="4" customWidth="1"/>
    <col min="12580" max="12580" width="10.28515625" style="4" customWidth="1"/>
    <col min="12581" max="12581" width="10.140625" style="4" customWidth="1"/>
    <col min="12582" max="12582" width="9.140625" style="4" customWidth="1"/>
    <col min="12583" max="12583" width="9" style="4" customWidth="1"/>
    <col min="12584" max="12584" width="10.140625" style="4" customWidth="1"/>
    <col min="12585" max="12585" width="9.28515625" style="4" customWidth="1"/>
    <col min="12586" max="12586" width="9" style="4" customWidth="1"/>
    <col min="12587" max="12588" width="10.28515625" style="4" customWidth="1"/>
    <col min="12589" max="12589" width="10.140625" style="4" customWidth="1"/>
    <col min="12590" max="12590" width="10.28515625" style="4" customWidth="1"/>
    <col min="12591" max="12591" width="10.140625" style="4" customWidth="1"/>
    <col min="12592" max="12592" width="38.28515625" style="4" customWidth="1"/>
    <col min="12593" max="12593" width="34.5703125" style="4" customWidth="1"/>
    <col min="12594" max="12594" width="30.28515625" style="4" customWidth="1"/>
    <col min="12595" max="12595" width="12.5703125" style="4" customWidth="1"/>
    <col min="12596" max="12602" width="11.42578125" style="4"/>
    <col min="12603" max="12603" width="34.28515625" style="4" customWidth="1"/>
    <col min="12604" max="12800" width="11.42578125" style="4"/>
    <col min="12801" max="12801" width="19.42578125" style="4" bestFit="1" customWidth="1"/>
    <col min="12802" max="12802" width="23.28515625" style="4" bestFit="1" customWidth="1"/>
    <col min="12803" max="12803" width="35.5703125" style="4" bestFit="1" customWidth="1"/>
    <col min="12804" max="12804" width="42.42578125" style="4" customWidth="1"/>
    <col min="12805" max="12805" width="27.5703125" style="4" customWidth="1"/>
    <col min="12806" max="12806" width="18.28515625" style="4" customWidth="1"/>
    <col min="12807" max="12807" width="25.5703125" style="4" customWidth="1"/>
    <col min="12808" max="12808" width="26.5703125" style="4" customWidth="1"/>
    <col min="12809" max="12809" width="31.42578125" style="4" customWidth="1"/>
    <col min="12810" max="12810" width="26.5703125" style="4" customWidth="1"/>
    <col min="12811" max="12811" width="17.42578125" style="4" bestFit="1" customWidth="1"/>
    <col min="12812" max="12812" width="10.28515625" style="4" customWidth="1"/>
    <col min="12813" max="12813" width="19" style="4" customWidth="1"/>
    <col min="12814" max="12814" width="16" style="4" customWidth="1"/>
    <col min="12815" max="12816" width="13.5703125" style="4" customWidth="1"/>
    <col min="12817" max="12817" width="20.28515625" style="4" customWidth="1"/>
    <col min="12818" max="12818" width="9.140625" style="4" customWidth="1"/>
    <col min="12819" max="12819" width="9" style="4" customWidth="1"/>
    <col min="12820" max="12820" width="10.140625" style="4" customWidth="1"/>
    <col min="12821" max="12821" width="9.28515625" style="4" customWidth="1"/>
    <col min="12822" max="12822" width="9" style="4" customWidth="1"/>
    <col min="12823" max="12824" width="10.28515625" style="4" customWidth="1"/>
    <col min="12825" max="12825" width="10.140625" style="4" customWidth="1"/>
    <col min="12826" max="12826" width="10.28515625" style="4" customWidth="1"/>
    <col min="12827" max="12827" width="10.140625" style="4" customWidth="1"/>
    <col min="12828" max="12828" width="9.140625" style="4" customWidth="1"/>
    <col min="12829" max="12829" width="9" style="4" customWidth="1"/>
    <col min="12830" max="12830" width="10.140625" style="4" customWidth="1"/>
    <col min="12831" max="12831" width="9.28515625" style="4" customWidth="1"/>
    <col min="12832" max="12832" width="9" style="4" customWidth="1"/>
    <col min="12833" max="12834" width="10.28515625" style="4" customWidth="1"/>
    <col min="12835" max="12835" width="10.140625" style="4" customWidth="1"/>
    <col min="12836" max="12836" width="10.28515625" style="4" customWidth="1"/>
    <col min="12837" max="12837" width="10.140625" style="4" customWidth="1"/>
    <col min="12838" max="12838" width="9.140625" style="4" customWidth="1"/>
    <col min="12839" max="12839" width="9" style="4" customWidth="1"/>
    <col min="12840" max="12840" width="10.140625" style="4" customWidth="1"/>
    <col min="12841" max="12841" width="9.28515625" style="4" customWidth="1"/>
    <col min="12842" max="12842" width="9" style="4" customWidth="1"/>
    <col min="12843" max="12844" width="10.28515625" style="4" customWidth="1"/>
    <col min="12845" max="12845" width="10.140625" style="4" customWidth="1"/>
    <col min="12846" max="12846" width="10.28515625" style="4" customWidth="1"/>
    <col min="12847" max="12847" width="10.140625" style="4" customWidth="1"/>
    <col min="12848" max="12848" width="38.28515625" style="4" customWidth="1"/>
    <col min="12849" max="12849" width="34.5703125" style="4" customWidth="1"/>
    <col min="12850" max="12850" width="30.28515625" style="4" customWidth="1"/>
    <col min="12851" max="12851" width="12.5703125" style="4" customWidth="1"/>
    <col min="12852" max="12858" width="11.42578125" style="4"/>
    <col min="12859" max="12859" width="34.28515625" style="4" customWidth="1"/>
    <col min="12860" max="13056" width="11.42578125" style="4"/>
    <col min="13057" max="13057" width="19.42578125" style="4" bestFit="1" customWidth="1"/>
    <col min="13058" max="13058" width="23.28515625" style="4" bestFit="1" customWidth="1"/>
    <col min="13059" max="13059" width="35.5703125" style="4" bestFit="1" customWidth="1"/>
    <col min="13060" max="13060" width="42.42578125" style="4" customWidth="1"/>
    <col min="13061" max="13061" width="27.5703125" style="4" customWidth="1"/>
    <col min="13062" max="13062" width="18.28515625" style="4" customWidth="1"/>
    <col min="13063" max="13063" width="25.5703125" style="4" customWidth="1"/>
    <col min="13064" max="13064" width="26.5703125" style="4" customWidth="1"/>
    <col min="13065" max="13065" width="31.42578125" style="4" customWidth="1"/>
    <col min="13066" max="13066" width="26.5703125" style="4" customWidth="1"/>
    <col min="13067" max="13067" width="17.42578125" style="4" bestFit="1" customWidth="1"/>
    <col min="13068" max="13068" width="10.28515625" style="4" customWidth="1"/>
    <col min="13069" max="13069" width="19" style="4" customWidth="1"/>
    <col min="13070" max="13070" width="16" style="4" customWidth="1"/>
    <col min="13071" max="13072" width="13.5703125" style="4" customWidth="1"/>
    <col min="13073" max="13073" width="20.28515625" style="4" customWidth="1"/>
    <col min="13074" max="13074" width="9.140625" style="4" customWidth="1"/>
    <col min="13075" max="13075" width="9" style="4" customWidth="1"/>
    <col min="13076" max="13076" width="10.140625" style="4" customWidth="1"/>
    <col min="13077" max="13077" width="9.28515625" style="4" customWidth="1"/>
    <col min="13078" max="13078" width="9" style="4" customWidth="1"/>
    <col min="13079" max="13080" width="10.28515625" style="4" customWidth="1"/>
    <col min="13081" max="13081" width="10.140625" style="4" customWidth="1"/>
    <col min="13082" max="13082" width="10.28515625" style="4" customWidth="1"/>
    <col min="13083" max="13083" width="10.140625" style="4" customWidth="1"/>
    <col min="13084" max="13084" width="9.140625" style="4" customWidth="1"/>
    <col min="13085" max="13085" width="9" style="4" customWidth="1"/>
    <col min="13086" max="13086" width="10.140625" style="4" customWidth="1"/>
    <col min="13087" max="13087" width="9.28515625" style="4" customWidth="1"/>
    <col min="13088" max="13088" width="9" style="4" customWidth="1"/>
    <col min="13089" max="13090" width="10.28515625" style="4" customWidth="1"/>
    <col min="13091" max="13091" width="10.140625" style="4" customWidth="1"/>
    <col min="13092" max="13092" width="10.28515625" style="4" customWidth="1"/>
    <col min="13093" max="13093" width="10.140625" style="4" customWidth="1"/>
    <col min="13094" max="13094" width="9.140625" style="4" customWidth="1"/>
    <col min="13095" max="13095" width="9" style="4" customWidth="1"/>
    <col min="13096" max="13096" width="10.140625" style="4" customWidth="1"/>
    <col min="13097" max="13097" width="9.28515625" style="4" customWidth="1"/>
    <col min="13098" max="13098" width="9" style="4" customWidth="1"/>
    <col min="13099" max="13100" width="10.28515625" style="4" customWidth="1"/>
    <col min="13101" max="13101" width="10.140625" style="4" customWidth="1"/>
    <col min="13102" max="13102" width="10.28515625" style="4" customWidth="1"/>
    <col min="13103" max="13103" width="10.140625" style="4" customWidth="1"/>
    <col min="13104" max="13104" width="38.28515625" style="4" customWidth="1"/>
    <col min="13105" max="13105" width="34.5703125" style="4" customWidth="1"/>
    <col min="13106" max="13106" width="30.28515625" style="4" customWidth="1"/>
    <col min="13107" max="13107" width="12.5703125" style="4" customWidth="1"/>
    <col min="13108" max="13114" width="11.42578125" style="4"/>
    <col min="13115" max="13115" width="34.28515625" style="4" customWidth="1"/>
    <col min="13116" max="13312" width="11.42578125" style="4"/>
    <col min="13313" max="13313" width="19.42578125" style="4" bestFit="1" customWidth="1"/>
    <col min="13314" max="13314" width="23.28515625" style="4" bestFit="1" customWidth="1"/>
    <col min="13315" max="13315" width="35.5703125" style="4" bestFit="1" customWidth="1"/>
    <col min="13316" max="13316" width="42.42578125" style="4" customWidth="1"/>
    <col min="13317" max="13317" width="27.5703125" style="4" customWidth="1"/>
    <col min="13318" max="13318" width="18.28515625" style="4" customWidth="1"/>
    <col min="13319" max="13319" width="25.5703125" style="4" customWidth="1"/>
    <col min="13320" max="13320" width="26.5703125" style="4" customWidth="1"/>
    <col min="13321" max="13321" width="31.42578125" style="4" customWidth="1"/>
    <col min="13322" max="13322" width="26.5703125" style="4" customWidth="1"/>
    <col min="13323" max="13323" width="17.42578125" style="4" bestFit="1" customWidth="1"/>
    <col min="13324" max="13324" width="10.28515625" style="4" customWidth="1"/>
    <col min="13325" max="13325" width="19" style="4" customWidth="1"/>
    <col min="13326" max="13326" width="16" style="4" customWidth="1"/>
    <col min="13327" max="13328" width="13.5703125" style="4" customWidth="1"/>
    <col min="13329" max="13329" width="20.28515625" style="4" customWidth="1"/>
    <col min="13330" max="13330" width="9.140625" style="4" customWidth="1"/>
    <col min="13331" max="13331" width="9" style="4" customWidth="1"/>
    <col min="13332" max="13332" width="10.140625" style="4" customWidth="1"/>
    <col min="13333" max="13333" width="9.28515625" style="4" customWidth="1"/>
    <col min="13334" max="13334" width="9" style="4" customWidth="1"/>
    <col min="13335" max="13336" width="10.28515625" style="4" customWidth="1"/>
    <col min="13337" max="13337" width="10.140625" style="4" customWidth="1"/>
    <col min="13338" max="13338" width="10.28515625" style="4" customWidth="1"/>
    <col min="13339" max="13339" width="10.140625" style="4" customWidth="1"/>
    <col min="13340" max="13340" width="9.140625" style="4" customWidth="1"/>
    <col min="13341" max="13341" width="9" style="4" customWidth="1"/>
    <col min="13342" max="13342" width="10.140625" style="4" customWidth="1"/>
    <col min="13343" max="13343" width="9.28515625" style="4" customWidth="1"/>
    <col min="13344" max="13344" width="9" style="4" customWidth="1"/>
    <col min="13345" max="13346" width="10.28515625" style="4" customWidth="1"/>
    <col min="13347" max="13347" width="10.140625" style="4" customWidth="1"/>
    <col min="13348" max="13348" width="10.28515625" style="4" customWidth="1"/>
    <col min="13349" max="13349" width="10.140625" style="4" customWidth="1"/>
    <col min="13350" max="13350" width="9.140625" style="4" customWidth="1"/>
    <col min="13351" max="13351" width="9" style="4" customWidth="1"/>
    <col min="13352" max="13352" width="10.140625" style="4" customWidth="1"/>
    <col min="13353" max="13353" width="9.28515625" style="4" customWidth="1"/>
    <col min="13354" max="13354" width="9" style="4" customWidth="1"/>
    <col min="13355" max="13356" width="10.28515625" style="4" customWidth="1"/>
    <col min="13357" max="13357" width="10.140625" style="4" customWidth="1"/>
    <col min="13358" max="13358" width="10.28515625" style="4" customWidth="1"/>
    <col min="13359" max="13359" width="10.140625" style="4" customWidth="1"/>
    <col min="13360" max="13360" width="38.28515625" style="4" customWidth="1"/>
    <col min="13361" max="13361" width="34.5703125" style="4" customWidth="1"/>
    <col min="13362" max="13362" width="30.28515625" style="4" customWidth="1"/>
    <col min="13363" max="13363" width="12.5703125" style="4" customWidth="1"/>
    <col min="13364" max="13370" width="11.42578125" style="4"/>
    <col min="13371" max="13371" width="34.28515625" style="4" customWidth="1"/>
    <col min="13372" max="13568" width="11.42578125" style="4"/>
    <col min="13569" max="13569" width="19.42578125" style="4" bestFit="1" customWidth="1"/>
    <col min="13570" max="13570" width="23.28515625" style="4" bestFit="1" customWidth="1"/>
    <col min="13571" max="13571" width="35.5703125" style="4" bestFit="1" customWidth="1"/>
    <col min="13572" max="13572" width="42.42578125" style="4" customWidth="1"/>
    <col min="13573" max="13573" width="27.5703125" style="4" customWidth="1"/>
    <col min="13574" max="13574" width="18.28515625" style="4" customWidth="1"/>
    <col min="13575" max="13575" width="25.5703125" style="4" customWidth="1"/>
    <col min="13576" max="13576" width="26.5703125" style="4" customWidth="1"/>
    <col min="13577" max="13577" width="31.42578125" style="4" customWidth="1"/>
    <col min="13578" max="13578" width="26.5703125" style="4" customWidth="1"/>
    <col min="13579" max="13579" width="17.42578125" style="4" bestFit="1" customWidth="1"/>
    <col min="13580" max="13580" width="10.28515625" style="4" customWidth="1"/>
    <col min="13581" max="13581" width="19" style="4" customWidth="1"/>
    <col min="13582" max="13582" width="16" style="4" customWidth="1"/>
    <col min="13583" max="13584" width="13.5703125" style="4" customWidth="1"/>
    <col min="13585" max="13585" width="20.28515625" style="4" customWidth="1"/>
    <col min="13586" max="13586" width="9.140625" style="4" customWidth="1"/>
    <col min="13587" max="13587" width="9" style="4" customWidth="1"/>
    <col min="13588" max="13588" width="10.140625" style="4" customWidth="1"/>
    <col min="13589" max="13589" width="9.28515625" style="4" customWidth="1"/>
    <col min="13590" max="13590" width="9" style="4" customWidth="1"/>
    <col min="13591" max="13592" width="10.28515625" style="4" customWidth="1"/>
    <col min="13593" max="13593" width="10.140625" style="4" customWidth="1"/>
    <col min="13594" max="13594" width="10.28515625" style="4" customWidth="1"/>
    <col min="13595" max="13595" width="10.140625" style="4" customWidth="1"/>
    <col min="13596" max="13596" width="9.140625" style="4" customWidth="1"/>
    <col min="13597" max="13597" width="9" style="4" customWidth="1"/>
    <col min="13598" max="13598" width="10.140625" style="4" customWidth="1"/>
    <col min="13599" max="13599" width="9.28515625" style="4" customWidth="1"/>
    <col min="13600" max="13600" width="9" style="4" customWidth="1"/>
    <col min="13601" max="13602" width="10.28515625" style="4" customWidth="1"/>
    <col min="13603" max="13603" width="10.140625" style="4" customWidth="1"/>
    <col min="13604" max="13604" width="10.28515625" style="4" customWidth="1"/>
    <col min="13605" max="13605" width="10.140625" style="4" customWidth="1"/>
    <col min="13606" max="13606" width="9.140625" style="4" customWidth="1"/>
    <col min="13607" max="13607" width="9" style="4" customWidth="1"/>
    <col min="13608" max="13608" width="10.140625" style="4" customWidth="1"/>
    <col min="13609" max="13609" width="9.28515625" style="4" customWidth="1"/>
    <col min="13610" max="13610" width="9" style="4" customWidth="1"/>
    <col min="13611" max="13612" width="10.28515625" style="4" customWidth="1"/>
    <col min="13613" max="13613" width="10.140625" style="4" customWidth="1"/>
    <col min="13614" max="13614" width="10.28515625" style="4" customWidth="1"/>
    <col min="13615" max="13615" width="10.140625" style="4" customWidth="1"/>
    <col min="13616" max="13616" width="38.28515625" style="4" customWidth="1"/>
    <col min="13617" max="13617" width="34.5703125" style="4" customWidth="1"/>
    <col min="13618" max="13618" width="30.28515625" style="4" customWidth="1"/>
    <col min="13619" max="13619" width="12.5703125" style="4" customWidth="1"/>
    <col min="13620" max="13626" width="11.42578125" style="4"/>
    <col min="13627" max="13627" width="34.28515625" style="4" customWidth="1"/>
    <col min="13628" max="13824" width="11.42578125" style="4"/>
    <col min="13825" max="13825" width="19.42578125" style="4" bestFit="1" customWidth="1"/>
    <col min="13826" max="13826" width="23.28515625" style="4" bestFit="1" customWidth="1"/>
    <col min="13827" max="13827" width="35.5703125" style="4" bestFit="1" customWidth="1"/>
    <col min="13828" max="13828" width="42.42578125" style="4" customWidth="1"/>
    <col min="13829" max="13829" width="27.5703125" style="4" customWidth="1"/>
    <col min="13830" max="13830" width="18.28515625" style="4" customWidth="1"/>
    <col min="13831" max="13831" width="25.5703125" style="4" customWidth="1"/>
    <col min="13832" max="13832" width="26.5703125" style="4" customWidth="1"/>
    <col min="13833" max="13833" width="31.42578125" style="4" customWidth="1"/>
    <col min="13834" max="13834" width="26.5703125" style="4" customWidth="1"/>
    <col min="13835" max="13835" width="17.42578125" style="4" bestFit="1" customWidth="1"/>
    <col min="13836" max="13836" width="10.28515625" style="4" customWidth="1"/>
    <col min="13837" max="13837" width="19" style="4" customWidth="1"/>
    <col min="13838" max="13838" width="16" style="4" customWidth="1"/>
    <col min="13839" max="13840" width="13.5703125" style="4" customWidth="1"/>
    <col min="13841" max="13841" width="20.28515625" style="4" customWidth="1"/>
    <col min="13842" max="13842" width="9.140625" style="4" customWidth="1"/>
    <col min="13843" max="13843" width="9" style="4" customWidth="1"/>
    <col min="13844" max="13844" width="10.140625" style="4" customWidth="1"/>
    <col min="13845" max="13845" width="9.28515625" style="4" customWidth="1"/>
    <col min="13846" max="13846" width="9" style="4" customWidth="1"/>
    <col min="13847" max="13848" width="10.28515625" style="4" customWidth="1"/>
    <col min="13849" max="13849" width="10.140625" style="4" customWidth="1"/>
    <col min="13850" max="13850" width="10.28515625" style="4" customWidth="1"/>
    <col min="13851" max="13851" width="10.140625" style="4" customWidth="1"/>
    <col min="13852" max="13852" width="9.140625" style="4" customWidth="1"/>
    <col min="13853" max="13853" width="9" style="4" customWidth="1"/>
    <col min="13854" max="13854" width="10.140625" style="4" customWidth="1"/>
    <col min="13855" max="13855" width="9.28515625" style="4" customWidth="1"/>
    <col min="13856" max="13856" width="9" style="4" customWidth="1"/>
    <col min="13857" max="13858" width="10.28515625" style="4" customWidth="1"/>
    <col min="13859" max="13859" width="10.140625" style="4" customWidth="1"/>
    <col min="13860" max="13860" width="10.28515625" style="4" customWidth="1"/>
    <col min="13861" max="13861" width="10.140625" style="4" customWidth="1"/>
    <col min="13862" max="13862" width="9.140625" style="4" customWidth="1"/>
    <col min="13863" max="13863" width="9" style="4" customWidth="1"/>
    <col min="13864" max="13864" width="10.140625" style="4" customWidth="1"/>
    <col min="13865" max="13865" width="9.28515625" style="4" customWidth="1"/>
    <col min="13866" max="13866" width="9" style="4" customWidth="1"/>
    <col min="13867" max="13868" width="10.28515625" style="4" customWidth="1"/>
    <col min="13869" max="13869" width="10.140625" style="4" customWidth="1"/>
    <col min="13870" max="13870" width="10.28515625" style="4" customWidth="1"/>
    <col min="13871" max="13871" width="10.140625" style="4" customWidth="1"/>
    <col min="13872" max="13872" width="38.28515625" style="4" customWidth="1"/>
    <col min="13873" max="13873" width="34.5703125" style="4" customWidth="1"/>
    <col min="13874" max="13874" width="30.28515625" style="4" customWidth="1"/>
    <col min="13875" max="13875" width="12.5703125" style="4" customWidth="1"/>
    <col min="13876" max="13882" width="11.42578125" style="4"/>
    <col min="13883" max="13883" width="34.28515625" style="4" customWidth="1"/>
    <col min="13884" max="14080" width="11.42578125" style="4"/>
    <col min="14081" max="14081" width="19.42578125" style="4" bestFit="1" customWidth="1"/>
    <col min="14082" max="14082" width="23.28515625" style="4" bestFit="1" customWidth="1"/>
    <col min="14083" max="14083" width="35.5703125" style="4" bestFit="1" customWidth="1"/>
    <col min="14084" max="14084" width="42.42578125" style="4" customWidth="1"/>
    <col min="14085" max="14085" width="27.5703125" style="4" customWidth="1"/>
    <col min="14086" max="14086" width="18.28515625" style="4" customWidth="1"/>
    <col min="14087" max="14087" width="25.5703125" style="4" customWidth="1"/>
    <col min="14088" max="14088" width="26.5703125" style="4" customWidth="1"/>
    <col min="14089" max="14089" width="31.42578125" style="4" customWidth="1"/>
    <col min="14090" max="14090" width="26.5703125" style="4" customWidth="1"/>
    <col min="14091" max="14091" width="17.42578125" style="4" bestFit="1" customWidth="1"/>
    <col min="14092" max="14092" width="10.28515625" style="4" customWidth="1"/>
    <col min="14093" max="14093" width="19" style="4" customWidth="1"/>
    <col min="14094" max="14094" width="16" style="4" customWidth="1"/>
    <col min="14095" max="14096" width="13.5703125" style="4" customWidth="1"/>
    <col min="14097" max="14097" width="20.28515625" style="4" customWidth="1"/>
    <col min="14098" max="14098" width="9.140625" style="4" customWidth="1"/>
    <col min="14099" max="14099" width="9" style="4" customWidth="1"/>
    <col min="14100" max="14100" width="10.140625" style="4" customWidth="1"/>
    <col min="14101" max="14101" width="9.28515625" style="4" customWidth="1"/>
    <col min="14102" max="14102" width="9" style="4" customWidth="1"/>
    <col min="14103" max="14104" width="10.28515625" style="4" customWidth="1"/>
    <col min="14105" max="14105" width="10.140625" style="4" customWidth="1"/>
    <col min="14106" max="14106" width="10.28515625" style="4" customWidth="1"/>
    <col min="14107" max="14107" width="10.140625" style="4" customWidth="1"/>
    <col min="14108" max="14108" width="9.140625" style="4" customWidth="1"/>
    <col min="14109" max="14109" width="9" style="4" customWidth="1"/>
    <col min="14110" max="14110" width="10.140625" style="4" customWidth="1"/>
    <col min="14111" max="14111" width="9.28515625" style="4" customWidth="1"/>
    <col min="14112" max="14112" width="9" style="4" customWidth="1"/>
    <col min="14113" max="14114" width="10.28515625" style="4" customWidth="1"/>
    <col min="14115" max="14115" width="10.140625" style="4" customWidth="1"/>
    <col min="14116" max="14116" width="10.28515625" style="4" customWidth="1"/>
    <col min="14117" max="14117" width="10.140625" style="4" customWidth="1"/>
    <col min="14118" max="14118" width="9.140625" style="4" customWidth="1"/>
    <col min="14119" max="14119" width="9" style="4" customWidth="1"/>
    <col min="14120" max="14120" width="10.140625" style="4" customWidth="1"/>
    <col min="14121" max="14121" width="9.28515625" style="4" customWidth="1"/>
    <col min="14122" max="14122" width="9" style="4" customWidth="1"/>
    <col min="14123" max="14124" width="10.28515625" style="4" customWidth="1"/>
    <col min="14125" max="14125" width="10.140625" style="4" customWidth="1"/>
    <col min="14126" max="14126" width="10.28515625" style="4" customWidth="1"/>
    <col min="14127" max="14127" width="10.140625" style="4" customWidth="1"/>
    <col min="14128" max="14128" width="38.28515625" style="4" customWidth="1"/>
    <col min="14129" max="14129" width="34.5703125" style="4" customWidth="1"/>
    <col min="14130" max="14130" width="30.28515625" style="4" customWidth="1"/>
    <col min="14131" max="14131" width="12.5703125" style="4" customWidth="1"/>
    <col min="14132" max="14138" width="11.42578125" style="4"/>
    <col min="14139" max="14139" width="34.28515625" style="4" customWidth="1"/>
    <col min="14140" max="14336" width="11.42578125" style="4"/>
    <col min="14337" max="14337" width="19.42578125" style="4" bestFit="1" customWidth="1"/>
    <col min="14338" max="14338" width="23.28515625" style="4" bestFit="1" customWidth="1"/>
    <col min="14339" max="14339" width="35.5703125" style="4" bestFit="1" customWidth="1"/>
    <col min="14340" max="14340" width="42.42578125" style="4" customWidth="1"/>
    <col min="14341" max="14341" width="27.5703125" style="4" customWidth="1"/>
    <col min="14342" max="14342" width="18.28515625" style="4" customWidth="1"/>
    <col min="14343" max="14343" width="25.5703125" style="4" customWidth="1"/>
    <col min="14344" max="14344" width="26.5703125" style="4" customWidth="1"/>
    <col min="14345" max="14345" width="31.42578125" style="4" customWidth="1"/>
    <col min="14346" max="14346" width="26.5703125" style="4" customWidth="1"/>
    <col min="14347" max="14347" width="17.42578125" style="4" bestFit="1" customWidth="1"/>
    <col min="14348" max="14348" width="10.28515625" style="4" customWidth="1"/>
    <col min="14349" max="14349" width="19" style="4" customWidth="1"/>
    <col min="14350" max="14350" width="16" style="4" customWidth="1"/>
    <col min="14351" max="14352" width="13.5703125" style="4" customWidth="1"/>
    <col min="14353" max="14353" width="20.28515625" style="4" customWidth="1"/>
    <col min="14354" max="14354" width="9.140625" style="4" customWidth="1"/>
    <col min="14355" max="14355" width="9" style="4" customWidth="1"/>
    <col min="14356" max="14356" width="10.140625" style="4" customWidth="1"/>
    <col min="14357" max="14357" width="9.28515625" style="4" customWidth="1"/>
    <col min="14358" max="14358" width="9" style="4" customWidth="1"/>
    <col min="14359" max="14360" width="10.28515625" style="4" customWidth="1"/>
    <col min="14361" max="14361" width="10.140625" style="4" customWidth="1"/>
    <col min="14362" max="14362" width="10.28515625" style="4" customWidth="1"/>
    <col min="14363" max="14363" width="10.140625" style="4" customWidth="1"/>
    <col min="14364" max="14364" width="9.140625" style="4" customWidth="1"/>
    <col min="14365" max="14365" width="9" style="4" customWidth="1"/>
    <col min="14366" max="14366" width="10.140625" style="4" customWidth="1"/>
    <col min="14367" max="14367" width="9.28515625" style="4" customWidth="1"/>
    <col min="14368" max="14368" width="9" style="4" customWidth="1"/>
    <col min="14369" max="14370" width="10.28515625" style="4" customWidth="1"/>
    <col min="14371" max="14371" width="10.140625" style="4" customWidth="1"/>
    <col min="14372" max="14372" width="10.28515625" style="4" customWidth="1"/>
    <col min="14373" max="14373" width="10.140625" style="4" customWidth="1"/>
    <col min="14374" max="14374" width="9.140625" style="4" customWidth="1"/>
    <col min="14375" max="14375" width="9" style="4" customWidth="1"/>
    <col min="14376" max="14376" width="10.140625" style="4" customWidth="1"/>
    <col min="14377" max="14377" width="9.28515625" style="4" customWidth="1"/>
    <col min="14378" max="14378" width="9" style="4" customWidth="1"/>
    <col min="14379" max="14380" width="10.28515625" style="4" customWidth="1"/>
    <col min="14381" max="14381" width="10.140625" style="4" customWidth="1"/>
    <col min="14382" max="14382" width="10.28515625" style="4" customWidth="1"/>
    <col min="14383" max="14383" width="10.140625" style="4" customWidth="1"/>
    <col min="14384" max="14384" width="38.28515625" style="4" customWidth="1"/>
    <col min="14385" max="14385" width="34.5703125" style="4" customWidth="1"/>
    <col min="14386" max="14386" width="30.28515625" style="4" customWidth="1"/>
    <col min="14387" max="14387" width="12.5703125" style="4" customWidth="1"/>
    <col min="14388" max="14394" width="11.42578125" style="4"/>
    <col min="14395" max="14395" width="34.28515625" style="4" customWidth="1"/>
    <col min="14396" max="14592" width="11.42578125" style="4"/>
    <col min="14593" max="14593" width="19.42578125" style="4" bestFit="1" customWidth="1"/>
    <col min="14594" max="14594" width="23.28515625" style="4" bestFit="1" customWidth="1"/>
    <col min="14595" max="14595" width="35.5703125" style="4" bestFit="1" customWidth="1"/>
    <col min="14596" max="14596" width="42.42578125" style="4" customWidth="1"/>
    <col min="14597" max="14597" width="27.5703125" style="4" customWidth="1"/>
    <col min="14598" max="14598" width="18.28515625" style="4" customWidth="1"/>
    <col min="14599" max="14599" width="25.5703125" style="4" customWidth="1"/>
    <col min="14600" max="14600" width="26.5703125" style="4" customWidth="1"/>
    <col min="14601" max="14601" width="31.42578125" style="4" customWidth="1"/>
    <col min="14602" max="14602" width="26.5703125" style="4" customWidth="1"/>
    <col min="14603" max="14603" width="17.42578125" style="4" bestFit="1" customWidth="1"/>
    <col min="14604" max="14604" width="10.28515625" style="4" customWidth="1"/>
    <col min="14605" max="14605" width="19" style="4" customWidth="1"/>
    <col min="14606" max="14606" width="16" style="4" customWidth="1"/>
    <col min="14607" max="14608" width="13.5703125" style="4" customWidth="1"/>
    <col min="14609" max="14609" width="20.28515625" style="4" customWidth="1"/>
    <col min="14610" max="14610" width="9.140625" style="4" customWidth="1"/>
    <col min="14611" max="14611" width="9" style="4" customWidth="1"/>
    <col min="14612" max="14612" width="10.140625" style="4" customWidth="1"/>
    <col min="14613" max="14613" width="9.28515625" style="4" customWidth="1"/>
    <col min="14614" max="14614" width="9" style="4" customWidth="1"/>
    <col min="14615" max="14616" width="10.28515625" style="4" customWidth="1"/>
    <col min="14617" max="14617" width="10.140625" style="4" customWidth="1"/>
    <col min="14618" max="14618" width="10.28515625" style="4" customWidth="1"/>
    <col min="14619" max="14619" width="10.140625" style="4" customWidth="1"/>
    <col min="14620" max="14620" width="9.140625" style="4" customWidth="1"/>
    <col min="14621" max="14621" width="9" style="4" customWidth="1"/>
    <col min="14622" max="14622" width="10.140625" style="4" customWidth="1"/>
    <col min="14623" max="14623" width="9.28515625" style="4" customWidth="1"/>
    <col min="14624" max="14624" width="9" style="4" customWidth="1"/>
    <col min="14625" max="14626" width="10.28515625" style="4" customWidth="1"/>
    <col min="14627" max="14627" width="10.140625" style="4" customWidth="1"/>
    <col min="14628" max="14628" width="10.28515625" style="4" customWidth="1"/>
    <col min="14629" max="14629" width="10.140625" style="4" customWidth="1"/>
    <col min="14630" max="14630" width="9.140625" style="4" customWidth="1"/>
    <col min="14631" max="14631" width="9" style="4" customWidth="1"/>
    <col min="14632" max="14632" width="10.140625" style="4" customWidth="1"/>
    <col min="14633" max="14633" width="9.28515625" style="4" customWidth="1"/>
    <col min="14634" max="14634" width="9" style="4" customWidth="1"/>
    <col min="14635" max="14636" width="10.28515625" style="4" customWidth="1"/>
    <col min="14637" max="14637" width="10.140625" style="4" customWidth="1"/>
    <col min="14638" max="14638" width="10.28515625" style="4" customWidth="1"/>
    <col min="14639" max="14639" width="10.140625" style="4" customWidth="1"/>
    <col min="14640" max="14640" width="38.28515625" style="4" customWidth="1"/>
    <col min="14641" max="14641" width="34.5703125" style="4" customWidth="1"/>
    <col min="14642" max="14642" width="30.28515625" style="4" customWidth="1"/>
    <col min="14643" max="14643" width="12.5703125" style="4" customWidth="1"/>
    <col min="14644" max="14650" width="11.42578125" style="4"/>
    <col min="14651" max="14651" width="34.28515625" style="4" customWidth="1"/>
    <col min="14652" max="14848" width="11.42578125" style="4"/>
    <col min="14849" max="14849" width="19.42578125" style="4" bestFit="1" customWidth="1"/>
    <col min="14850" max="14850" width="23.28515625" style="4" bestFit="1" customWidth="1"/>
    <col min="14851" max="14851" width="35.5703125" style="4" bestFit="1" customWidth="1"/>
    <col min="14852" max="14852" width="42.42578125" style="4" customWidth="1"/>
    <col min="14853" max="14853" width="27.5703125" style="4" customWidth="1"/>
    <col min="14854" max="14854" width="18.28515625" style="4" customWidth="1"/>
    <col min="14855" max="14855" width="25.5703125" style="4" customWidth="1"/>
    <col min="14856" max="14856" width="26.5703125" style="4" customWidth="1"/>
    <col min="14857" max="14857" width="31.42578125" style="4" customWidth="1"/>
    <col min="14858" max="14858" width="26.5703125" style="4" customWidth="1"/>
    <col min="14859" max="14859" width="17.42578125" style="4" bestFit="1" customWidth="1"/>
    <col min="14860" max="14860" width="10.28515625" style="4" customWidth="1"/>
    <col min="14861" max="14861" width="19" style="4" customWidth="1"/>
    <col min="14862" max="14862" width="16" style="4" customWidth="1"/>
    <col min="14863" max="14864" width="13.5703125" style="4" customWidth="1"/>
    <col min="14865" max="14865" width="20.28515625" style="4" customWidth="1"/>
    <col min="14866" max="14866" width="9.140625" style="4" customWidth="1"/>
    <col min="14867" max="14867" width="9" style="4" customWidth="1"/>
    <col min="14868" max="14868" width="10.140625" style="4" customWidth="1"/>
    <col min="14869" max="14869" width="9.28515625" style="4" customWidth="1"/>
    <col min="14870" max="14870" width="9" style="4" customWidth="1"/>
    <col min="14871" max="14872" width="10.28515625" style="4" customWidth="1"/>
    <col min="14873" max="14873" width="10.140625" style="4" customWidth="1"/>
    <col min="14874" max="14874" width="10.28515625" style="4" customWidth="1"/>
    <col min="14875" max="14875" width="10.140625" style="4" customWidth="1"/>
    <col min="14876" max="14876" width="9.140625" style="4" customWidth="1"/>
    <col min="14877" max="14877" width="9" style="4" customWidth="1"/>
    <col min="14878" max="14878" width="10.140625" style="4" customWidth="1"/>
    <col min="14879" max="14879" width="9.28515625" style="4" customWidth="1"/>
    <col min="14880" max="14880" width="9" style="4" customWidth="1"/>
    <col min="14881" max="14882" width="10.28515625" style="4" customWidth="1"/>
    <col min="14883" max="14883" width="10.140625" style="4" customWidth="1"/>
    <col min="14884" max="14884" width="10.28515625" style="4" customWidth="1"/>
    <col min="14885" max="14885" width="10.140625" style="4" customWidth="1"/>
    <col min="14886" max="14886" width="9.140625" style="4" customWidth="1"/>
    <col min="14887" max="14887" width="9" style="4" customWidth="1"/>
    <col min="14888" max="14888" width="10.140625" style="4" customWidth="1"/>
    <col min="14889" max="14889" width="9.28515625" style="4" customWidth="1"/>
    <col min="14890" max="14890" width="9" style="4" customWidth="1"/>
    <col min="14891" max="14892" width="10.28515625" style="4" customWidth="1"/>
    <col min="14893" max="14893" width="10.140625" style="4" customWidth="1"/>
    <col min="14894" max="14894" width="10.28515625" style="4" customWidth="1"/>
    <col min="14895" max="14895" width="10.140625" style="4" customWidth="1"/>
    <col min="14896" max="14896" width="38.28515625" style="4" customWidth="1"/>
    <col min="14897" max="14897" width="34.5703125" style="4" customWidth="1"/>
    <col min="14898" max="14898" width="30.28515625" style="4" customWidth="1"/>
    <col min="14899" max="14899" width="12.5703125" style="4" customWidth="1"/>
    <col min="14900" max="14906" width="11.42578125" style="4"/>
    <col min="14907" max="14907" width="34.28515625" style="4" customWidth="1"/>
    <col min="14908" max="15104" width="11.42578125" style="4"/>
    <col min="15105" max="15105" width="19.42578125" style="4" bestFit="1" customWidth="1"/>
    <col min="15106" max="15106" width="23.28515625" style="4" bestFit="1" customWidth="1"/>
    <col min="15107" max="15107" width="35.5703125" style="4" bestFit="1" customWidth="1"/>
    <col min="15108" max="15108" width="42.42578125" style="4" customWidth="1"/>
    <col min="15109" max="15109" width="27.5703125" style="4" customWidth="1"/>
    <col min="15110" max="15110" width="18.28515625" style="4" customWidth="1"/>
    <col min="15111" max="15111" width="25.5703125" style="4" customWidth="1"/>
    <col min="15112" max="15112" width="26.5703125" style="4" customWidth="1"/>
    <col min="15113" max="15113" width="31.42578125" style="4" customWidth="1"/>
    <col min="15114" max="15114" width="26.5703125" style="4" customWidth="1"/>
    <col min="15115" max="15115" width="17.42578125" style="4" bestFit="1" customWidth="1"/>
    <col min="15116" max="15116" width="10.28515625" style="4" customWidth="1"/>
    <col min="15117" max="15117" width="19" style="4" customWidth="1"/>
    <col min="15118" max="15118" width="16" style="4" customWidth="1"/>
    <col min="15119" max="15120" width="13.5703125" style="4" customWidth="1"/>
    <col min="15121" max="15121" width="20.28515625" style="4" customWidth="1"/>
    <col min="15122" max="15122" width="9.140625" style="4" customWidth="1"/>
    <col min="15123" max="15123" width="9" style="4" customWidth="1"/>
    <col min="15124" max="15124" width="10.140625" style="4" customWidth="1"/>
    <col min="15125" max="15125" width="9.28515625" style="4" customWidth="1"/>
    <col min="15126" max="15126" width="9" style="4" customWidth="1"/>
    <col min="15127" max="15128" width="10.28515625" style="4" customWidth="1"/>
    <col min="15129" max="15129" width="10.140625" style="4" customWidth="1"/>
    <col min="15130" max="15130" width="10.28515625" style="4" customWidth="1"/>
    <col min="15131" max="15131" width="10.140625" style="4" customWidth="1"/>
    <col min="15132" max="15132" width="9.140625" style="4" customWidth="1"/>
    <col min="15133" max="15133" width="9" style="4" customWidth="1"/>
    <col min="15134" max="15134" width="10.140625" style="4" customWidth="1"/>
    <col min="15135" max="15135" width="9.28515625" style="4" customWidth="1"/>
    <col min="15136" max="15136" width="9" style="4" customWidth="1"/>
    <col min="15137" max="15138" width="10.28515625" style="4" customWidth="1"/>
    <col min="15139" max="15139" width="10.140625" style="4" customWidth="1"/>
    <col min="15140" max="15140" width="10.28515625" style="4" customWidth="1"/>
    <col min="15141" max="15141" width="10.140625" style="4" customWidth="1"/>
    <col min="15142" max="15142" width="9.140625" style="4" customWidth="1"/>
    <col min="15143" max="15143" width="9" style="4" customWidth="1"/>
    <col min="15144" max="15144" width="10.140625" style="4" customWidth="1"/>
    <col min="15145" max="15145" width="9.28515625" style="4" customWidth="1"/>
    <col min="15146" max="15146" width="9" style="4" customWidth="1"/>
    <col min="15147" max="15148" width="10.28515625" style="4" customWidth="1"/>
    <col min="15149" max="15149" width="10.140625" style="4" customWidth="1"/>
    <col min="15150" max="15150" width="10.28515625" style="4" customWidth="1"/>
    <col min="15151" max="15151" width="10.140625" style="4" customWidth="1"/>
    <col min="15152" max="15152" width="38.28515625" style="4" customWidth="1"/>
    <col min="15153" max="15153" width="34.5703125" style="4" customWidth="1"/>
    <col min="15154" max="15154" width="30.28515625" style="4" customWidth="1"/>
    <col min="15155" max="15155" width="12.5703125" style="4" customWidth="1"/>
    <col min="15156" max="15162" width="11.42578125" style="4"/>
    <col min="15163" max="15163" width="34.28515625" style="4" customWidth="1"/>
    <col min="15164" max="15360" width="11.42578125" style="4"/>
    <col min="15361" max="15361" width="19.42578125" style="4" bestFit="1" customWidth="1"/>
    <col min="15362" max="15362" width="23.28515625" style="4" bestFit="1" customWidth="1"/>
    <col min="15363" max="15363" width="35.5703125" style="4" bestFit="1" customWidth="1"/>
    <col min="15364" max="15364" width="42.42578125" style="4" customWidth="1"/>
    <col min="15365" max="15365" width="27.5703125" style="4" customWidth="1"/>
    <col min="15366" max="15366" width="18.28515625" style="4" customWidth="1"/>
    <col min="15367" max="15367" width="25.5703125" style="4" customWidth="1"/>
    <col min="15368" max="15368" width="26.5703125" style="4" customWidth="1"/>
    <col min="15369" max="15369" width="31.42578125" style="4" customWidth="1"/>
    <col min="15370" max="15370" width="26.5703125" style="4" customWidth="1"/>
    <col min="15371" max="15371" width="17.42578125" style="4" bestFit="1" customWidth="1"/>
    <col min="15372" max="15372" width="10.28515625" style="4" customWidth="1"/>
    <col min="15373" max="15373" width="19" style="4" customWidth="1"/>
    <col min="15374" max="15374" width="16" style="4" customWidth="1"/>
    <col min="15375" max="15376" width="13.5703125" style="4" customWidth="1"/>
    <col min="15377" max="15377" width="20.28515625" style="4" customWidth="1"/>
    <col min="15378" max="15378" width="9.140625" style="4" customWidth="1"/>
    <col min="15379" max="15379" width="9" style="4" customWidth="1"/>
    <col min="15380" max="15380" width="10.140625" style="4" customWidth="1"/>
    <col min="15381" max="15381" width="9.28515625" style="4" customWidth="1"/>
    <col min="15382" max="15382" width="9" style="4" customWidth="1"/>
    <col min="15383" max="15384" width="10.28515625" style="4" customWidth="1"/>
    <col min="15385" max="15385" width="10.140625" style="4" customWidth="1"/>
    <col min="15386" max="15386" width="10.28515625" style="4" customWidth="1"/>
    <col min="15387" max="15387" width="10.140625" style="4" customWidth="1"/>
    <col min="15388" max="15388" width="9.140625" style="4" customWidth="1"/>
    <col min="15389" max="15389" width="9" style="4" customWidth="1"/>
    <col min="15390" max="15390" width="10.140625" style="4" customWidth="1"/>
    <col min="15391" max="15391" width="9.28515625" style="4" customWidth="1"/>
    <col min="15392" max="15392" width="9" style="4" customWidth="1"/>
    <col min="15393" max="15394" width="10.28515625" style="4" customWidth="1"/>
    <col min="15395" max="15395" width="10.140625" style="4" customWidth="1"/>
    <col min="15396" max="15396" width="10.28515625" style="4" customWidth="1"/>
    <col min="15397" max="15397" width="10.140625" style="4" customWidth="1"/>
    <col min="15398" max="15398" width="9.140625" style="4" customWidth="1"/>
    <col min="15399" max="15399" width="9" style="4" customWidth="1"/>
    <col min="15400" max="15400" width="10.140625" style="4" customWidth="1"/>
    <col min="15401" max="15401" width="9.28515625" style="4" customWidth="1"/>
    <col min="15402" max="15402" width="9" style="4" customWidth="1"/>
    <col min="15403" max="15404" width="10.28515625" style="4" customWidth="1"/>
    <col min="15405" max="15405" width="10.140625" style="4" customWidth="1"/>
    <col min="15406" max="15406" width="10.28515625" style="4" customWidth="1"/>
    <col min="15407" max="15407" width="10.140625" style="4" customWidth="1"/>
    <col min="15408" max="15408" width="38.28515625" style="4" customWidth="1"/>
    <col min="15409" max="15409" width="34.5703125" style="4" customWidth="1"/>
    <col min="15410" max="15410" width="30.28515625" style="4" customWidth="1"/>
    <col min="15411" max="15411" width="12.5703125" style="4" customWidth="1"/>
    <col min="15412" max="15418" width="11.42578125" style="4"/>
    <col min="15419" max="15419" width="34.28515625" style="4" customWidth="1"/>
    <col min="15420" max="15616" width="11.42578125" style="4"/>
    <col min="15617" max="15617" width="19.42578125" style="4" bestFit="1" customWidth="1"/>
    <col min="15618" max="15618" width="23.28515625" style="4" bestFit="1" customWidth="1"/>
    <col min="15619" max="15619" width="35.5703125" style="4" bestFit="1" customWidth="1"/>
    <col min="15620" max="15620" width="42.42578125" style="4" customWidth="1"/>
    <col min="15621" max="15621" width="27.5703125" style="4" customWidth="1"/>
    <col min="15622" max="15622" width="18.28515625" style="4" customWidth="1"/>
    <col min="15623" max="15623" width="25.5703125" style="4" customWidth="1"/>
    <col min="15624" max="15624" width="26.5703125" style="4" customWidth="1"/>
    <col min="15625" max="15625" width="31.42578125" style="4" customWidth="1"/>
    <col min="15626" max="15626" width="26.5703125" style="4" customWidth="1"/>
    <col min="15627" max="15627" width="17.42578125" style="4" bestFit="1" customWidth="1"/>
    <col min="15628" max="15628" width="10.28515625" style="4" customWidth="1"/>
    <col min="15629" max="15629" width="19" style="4" customWidth="1"/>
    <col min="15630" max="15630" width="16" style="4" customWidth="1"/>
    <col min="15631" max="15632" width="13.5703125" style="4" customWidth="1"/>
    <col min="15633" max="15633" width="20.28515625" style="4" customWidth="1"/>
    <col min="15634" max="15634" width="9.140625" style="4" customWidth="1"/>
    <col min="15635" max="15635" width="9" style="4" customWidth="1"/>
    <col min="15636" max="15636" width="10.140625" style="4" customWidth="1"/>
    <col min="15637" max="15637" width="9.28515625" style="4" customWidth="1"/>
    <col min="15638" max="15638" width="9" style="4" customWidth="1"/>
    <col min="15639" max="15640" width="10.28515625" style="4" customWidth="1"/>
    <col min="15641" max="15641" width="10.140625" style="4" customWidth="1"/>
    <col min="15642" max="15642" width="10.28515625" style="4" customWidth="1"/>
    <col min="15643" max="15643" width="10.140625" style="4" customWidth="1"/>
    <col min="15644" max="15644" width="9.140625" style="4" customWidth="1"/>
    <col min="15645" max="15645" width="9" style="4" customWidth="1"/>
    <col min="15646" max="15646" width="10.140625" style="4" customWidth="1"/>
    <col min="15647" max="15647" width="9.28515625" style="4" customWidth="1"/>
    <col min="15648" max="15648" width="9" style="4" customWidth="1"/>
    <col min="15649" max="15650" width="10.28515625" style="4" customWidth="1"/>
    <col min="15651" max="15651" width="10.140625" style="4" customWidth="1"/>
    <col min="15652" max="15652" width="10.28515625" style="4" customWidth="1"/>
    <col min="15653" max="15653" width="10.140625" style="4" customWidth="1"/>
    <col min="15654" max="15654" width="9.140625" style="4" customWidth="1"/>
    <col min="15655" max="15655" width="9" style="4" customWidth="1"/>
    <col min="15656" max="15656" width="10.140625" style="4" customWidth="1"/>
    <col min="15657" max="15657" width="9.28515625" style="4" customWidth="1"/>
    <col min="15658" max="15658" width="9" style="4" customWidth="1"/>
    <col min="15659" max="15660" width="10.28515625" style="4" customWidth="1"/>
    <col min="15661" max="15661" width="10.140625" style="4" customWidth="1"/>
    <col min="15662" max="15662" width="10.28515625" style="4" customWidth="1"/>
    <col min="15663" max="15663" width="10.140625" style="4" customWidth="1"/>
    <col min="15664" max="15664" width="38.28515625" style="4" customWidth="1"/>
    <col min="15665" max="15665" width="34.5703125" style="4" customWidth="1"/>
    <col min="15666" max="15666" width="30.28515625" style="4" customWidth="1"/>
    <col min="15667" max="15667" width="12.5703125" style="4" customWidth="1"/>
    <col min="15668" max="15674" width="11.42578125" style="4"/>
    <col min="15675" max="15675" width="34.28515625" style="4" customWidth="1"/>
    <col min="15676" max="15872" width="11.42578125" style="4"/>
    <col min="15873" max="15873" width="19.42578125" style="4" bestFit="1" customWidth="1"/>
    <col min="15874" max="15874" width="23.28515625" style="4" bestFit="1" customWidth="1"/>
    <col min="15875" max="15875" width="35.5703125" style="4" bestFit="1" customWidth="1"/>
    <col min="15876" max="15876" width="42.42578125" style="4" customWidth="1"/>
    <col min="15877" max="15877" width="27.5703125" style="4" customWidth="1"/>
    <col min="15878" max="15878" width="18.28515625" style="4" customWidth="1"/>
    <col min="15879" max="15879" width="25.5703125" style="4" customWidth="1"/>
    <col min="15880" max="15880" width="26.5703125" style="4" customWidth="1"/>
    <col min="15881" max="15881" width="31.42578125" style="4" customWidth="1"/>
    <col min="15882" max="15882" width="26.5703125" style="4" customWidth="1"/>
    <col min="15883" max="15883" width="17.42578125" style="4" bestFit="1" customWidth="1"/>
    <col min="15884" max="15884" width="10.28515625" style="4" customWidth="1"/>
    <col min="15885" max="15885" width="19" style="4" customWidth="1"/>
    <col min="15886" max="15886" width="16" style="4" customWidth="1"/>
    <col min="15887" max="15888" width="13.5703125" style="4" customWidth="1"/>
    <col min="15889" max="15889" width="20.28515625" style="4" customWidth="1"/>
    <col min="15890" max="15890" width="9.140625" style="4" customWidth="1"/>
    <col min="15891" max="15891" width="9" style="4" customWidth="1"/>
    <col min="15892" max="15892" width="10.140625" style="4" customWidth="1"/>
    <col min="15893" max="15893" width="9.28515625" style="4" customWidth="1"/>
    <col min="15894" max="15894" width="9" style="4" customWidth="1"/>
    <col min="15895" max="15896" width="10.28515625" style="4" customWidth="1"/>
    <col min="15897" max="15897" width="10.140625" style="4" customWidth="1"/>
    <col min="15898" max="15898" width="10.28515625" style="4" customWidth="1"/>
    <col min="15899" max="15899" width="10.140625" style="4" customWidth="1"/>
    <col min="15900" max="15900" width="9.140625" style="4" customWidth="1"/>
    <col min="15901" max="15901" width="9" style="4" customWidth="1"/>
    <col min="15902" max="15902" width="10.140625" style="4" customWidth="1"/>
    <col min="15903" max="15903" width="9.28515625" style="4" customWidth="1"/>
    <col min="15904" max="15904" width="9" style="4" customWidth="1"/>
    <col min="15905" max="15906" width="10.28515625" style="4" customWidth="1"/>
    <col min="15907" max="15907" width="10.140625" style="4" customWidth="1"/>
    <col min="15908" max="15908" width="10.28515625" style="4" customWidth="1"/>
    <col min="15909" max="15909" width="10.140625" style="4" customWidth="1"/>
    <col min="15910" max="15910" width="9.140625" style="4" customWidth="1"/>
    <col min="15911" max="15911" width="9" style="4" customWidth="1"/>
    <col min="15912" max="15912" width="10.140625" style="4" customWidth="1"/>
    <col min="15913" max="15913" width="9.28515625" style="4" customWidth="1"/>
    <col min="15914" max="15914" width="9" style="4" customWidth="1"/>
    <col min="15915" max="15916" width="10.28515625" style="4" customWidth="1"/>
    <col min="15917" max="15917" width="10.140625" style="4" customWidth="1"/>
    <col min="15918" max="15918" width="10.28515625" style="4" customWidth="1"/>
    <col min="15919" max="15919" width="10.140625" style="4" customWidth="1"/>
    <col min="15920" max="15920" width="38.28515625" style="4" customWidth="1"/>
    <col min="15921" max="15921" width="34.5703125" style="4" customWidth="1"/>
    <col min="15922" max="15922" width="30.28515625" style="4" customWidth="1"/>
    <col min="15923" max="15923" width="12.5703125" style="4" customWidth="1"/>
    <col min="15924" max="15930" width="11.42578125" style="4"/>
    <col min="15931" max="15931" width="34.28515625" style="4" customWidth="1"/>
    <col min="15932" max="16128" width="11.42578125" style="4"/>
    <col min="16129" max="16129" width="19.42578125" style="4" bestFit="1" customWidth="1"/>
    <col min="16130" max="16130" width="23.28515625" style="4" bestFit="1" customWidth="1"/>
    <col min="16131" max="16131" width="35.5703125" style="4" bestFit="1" customWidth="1"/>
    <col min="16132" max="16132" width="42.42578125" style="4" customWidth="1"/>
    <col min="16133" max="16133" width="27.5703125" style="4" customWidth="1"/>
    <col min="16134" max="16134" width="18.28515625" style="4" customWidth="1"/>
    <col min="16135" max="16135" width="25.5703125" style="4" customWidth="1"/>
    <col min="16136" max="16136" width="26.5703125" style="4" customWidth="1"/>
    <col min="16137" max="16137" width="31.42578125" style="4" customWidth="1"/>
    <col min="16138" max="16138" width="26.5703125" style="4" customWidth="1"/>
    <col min="16139" max="16139" width="17.42578125" style="4" bestFit="1" customWidth="1"/>
    <col min="16140" max="16140" width="10.28515625" style="4" customWidth="1"/>
    <col min="16141" max="16141" width="19" style="4" customWidth="1"/>
    <col min="16142" max="16142" width="16" style="4" customWidth="1"/>
    <col min="16143" max="16144" width="13.5703125" style="4" customWidth="1"/>
    <col min="16145" max="16145" width="20.28515625" style="4" customWidth="1"/>
    <col min="16146" max="16146" width="9.140625" style="4" customWidth="1"/>
    <col min="16147" max="16147" width="9" style="4" customWidth="1"/>
    <col min="16148" max="16148" width="10.140625" style="4" customWidth="1"/>
    <col min="16149" max="16149" width="9.28515625" style="4" customWidth="1"/>
    <col min="16150" max="16150" width="9" style="4" customWidth="1"/>
    <col min="16151" max="16152" width="10.28515625" style="4" customWidth="1"/>
    <col min="16153" max="16153" width="10.140625" style="4" customWidth="1"/>
    <col min="16154" max="16154" width="10.28515625" style="4" customWidth="1"/>
    <col min="16155" max="16155" width="10.140625" style="4" customWidth="1"/>
    <col min="16156" max="16156" width="9.140625" style="4" customWidth="1"/>
    <col min="16157" max="16157" width="9" style="4" customWidth="1"/>
    <col min="16158" max="16158" width="10.140625" style="4" customWidth="1"/>
    <col min="16159" max="16159" width="9.28515625" style="4" customWidth="1"/>
    <col min="16160" max="16160" width="9" style="4" customWidth="1"/>
    <col min="16161" max="16162" width="10.28515625" style="4" customWidth="1"/>
    <col min="16163" max="16163" width="10.140625" style="4" customWidth="1"/>
    <col min="16164" max="16164" width="10.28515625" style="4" customWidth="1"/>
    <col min="16165" max="16165" width="10.140625" style="4" customWidth="1"/>
    <col min="16166" max="16166" width="9.140625" style="4" customWidth="1"/>
    <col min="16167" max="16167" width="9" style="4" customWidth="1"/>
    <col min="16168" max="16168" width="10.140625" style="4" customWidth="1"/>
    <col min="16169" max="16169" width="9.28515625" style="4" customWidth="1"/>
    <col min="16170" max="16170" width="9" style="4" customWidth="1"/>
    <col min="16171" max="16172" width="10.28515625" style="4" customWidth="1"/>
    <col min="16173" max="16173" width="10.140625" style="4" customWidth="1"/>
    <col min="16174" max="16174" width="10.28515625" style="4" customWidth="1"/>
    <col min="16175" max="16175" width="10.140625" style="4" customWidth="1"/>
    <col min="16176" max="16176" width="38.28515625" style="4" customWidth="1"/>
    <col min="16177" max="16177" width="34.5703125" style="4" customWidth="1"/>
    <col min="16178" max="16178" width="30.28515625" style="4" customWidth="1"/>
    <col min="16179" max="16179" width="12.5703125" style="4" customWidth="1"/>
    <col min="16180" max="16186" width="11.42578125" style="4"/>
    <col min="16187" max="16187" width="34.28515625" style="4" customWidth="1"/>
    <col min="16188" max="16384" width="11.42578125" style="4"/>
  </cols>
  <sheetData>
    <row r="1" spans="1:53" s="14" customFormat="1">
      <c r="A1" s="2" t="s">
        <v>23</v>
      </c>
      <c r="B1" s="2" t="s">
        <v>29</v>
      </c>
      <c r="C1" s="2" t="s">
        <v>18</v>
      </c>
      <c r="D1" s="2" t="s">
        <v>24</v>
      </c>
      <c r="E1" s="2" t="s">
        <v>30</v>
      </c>
      <c r="F1" s="2" t="s">
        <v>31</v>
      </c>
      <c r="G1" s="5" t="s">
        <v>32</v>
      </c>
      <c r="H1" s="6"/>
      <c r="I1" s="6"/>
      <c r="J1" s="6"/>
      <c r="K1" s="6"/>
      <c r="L1" s="6"/>
      <c r="M1" s="6"/>
      <c r="N1" s="6"/>
      <c r="O1" s="6"/>
      <c r="P1" s="6"/>
      <c r="Q1" s="7"/>
      <c r="R1" s="8">
        <v>20</v>
      </c>
      <c r="S1" s="9"/>
      <c r="T1" s="9"/>
      <c r="U1" s="9"/>
      <c r="V1" s="9"/>
      <c r="W1" s="9"/>
      <c r="X1" s="9"/>
      <c r="Y1" s="9"/>
      <c r="Z1" s="9"/>
      <c r="AA1" s="9"/>
      <c r="AB1" s="10">
        <v>60</v>
      </c>
      <c r="AC1" s="11"/>
      <c r="AD1" s="11"/>
      <c r="AE1" s="11"/>
      <c r="AF1" s="11"/>
      <c r="AG1" s="11"/>
      <c r="AH1" s="11"/>
      <c r="AI1" s="11"/>
      <c r="AJ1" s="11"/>
      <c r="AK1" s="11"/>
      <c r="AL1" s="12">
        <v>100</v>
      </c>
      <c r="AM1" s="13"/>
      <c r="AN1" s="13"/>
      <c r="AO1" s="13"/>
      <c r="AP1" s="13"/>
      <c r="AQ1" s="13"/>
      <c r="AR1" s="13"/>
      <c r="AS1" s="13"/>
      <c r="AT1" s="13"/>
      <c r="AU1" s="13"/>
      <c r="AV1" s="14" t="s">
        <v>33</v>
      </c>
      <c r="AW1" s="14" t="s">
        <v>34</v>
      </c>
      <c r="AX1" s="14" t="s">
        <v>35</v>
      </c>
    </row>
    <row r="2" spans="1:53" s="14" customFormat="1">
      <c r="A2" s="2"/>
      <c r="B2" s="2"/>
      <c r="C2" s="2"/>
      <c r="D2" s="2"/>
      <c r="E2" s="2"/>
      <c r="F2" s="2"/>
      <c r="G2" s="3" t="s">
        <v>25</v>
      </c>
      <c r="H2" s="3" t="s">
        <v>26</v>
      </c>
      <c r="I2" s="3" t="s">
        <v>28</v>
      </c>
      <c r="J2" s="3" t="s">
        <v>36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41</v>
      </c>
      <c r="P2" s="3" t="s">
        <v>42</v>
      </c>
      <c r="Q2" s="3" t="s">
        <v>43</v>
      </c>
      <c r="R2" s="15" t="s">
        <v>25</v>
      </c>
      <c r="S2" s="15" t="s">
        <v>26</v>
      </c>
      <c r="T2" s="15" t="s">
        <v>27</v>
      </c>
      <c r="U2" s="15" t="s">
        <v>36</v>
      </c>
      <c r="V2" s="15" t="s">
        <v>37</v>
      </c>
      <c r="W2" s="15" t="s">
        <v>38</v>
      </c>
      <c r="X2" s="15" t="s">
        <v>39</v>
      </c>
      <c r="Y2" s="15" t="s">
        <v>40</v>
      </c>
      <c r="Z2" s="15" t="s">
        <v>41</v>
      </c>
      <c r="AA2" s="15" t="s">
        <v>42</v>
      </c>
      <c r="AB2" s="16" t="s">
        <v>25</v>
      </c>
      <c r="AC2" s="16" t="s">
        <v>26</v>
      </c>
      <c r="AD2" s="16" t="s">
        <v>27</v>
      </c>
      <c r="AE2" s="16" t="s">
        <v>36</v>
      </c>
      <c r="AF2" s="16" t="s">
        <v>37</v>
      </c>
      <c r="AG2" s="16" t="s">
        <v>38</v>
      </c>
      <c r="AH2" s="16" t="s">
        <v>39</v>
      </c>
      <c r="AI2" s="16" t="s">
        <v>40</v>
      </c>
      <c r="AJ2" s="16" t="s">
        <v>41</v>
      </c>
      <c r="AK2" s="16" t="s">
        <v>42</v>
      </c>
      <c r="AL2" s="17" t="s">
        <v>25</v>
      </c>
      <c r="AM2" s="17" t="s">
        <v>26</v>
      </c>
      <c r="AN2" s="17" t="s">
        <v>27</v>
      </c>
      <c r="AO2" s="17" t="s">
        <v>36</v>
      </c>
      <c r="AP2" s="17" t="s">
        <v>37</v>
      </c>
      <c r="AQ2" s="17" t="s">
        <v>38</v>
      </c>
      <c r="AR2" s="17" t="s">
        <v>39</v>
      </c>
      <c r="AS2" s="17" t="s">
        <v>40</v>
      </c>
      <c r="AT2" s="17" t="s">
        <v>41</v>
      </c>
      <c r="AU2" s="17" t="s">
        <v>42</v>
      </c>
      <c r="AZ2" s="14" t="s">
        <v>44</v>
      </c>
      <c r="BA2" s="14" t="s">
        <v>45</v>
      </c>
    </row>
    <row r="3" spans="1:53" ht="56.25">
      <c r="A3" s="1" t="s">
        <v>0</v>
      </c>
      <c r="B3" s="1" t="s">
        <v>46</v>
      </c>
      <c r="C3" s="1" t="s">
        <v>19</v>
      </c>
      <c r="D3" s="1" t="s">
        <v>3</v>
      </c>
      <c r="E3" s="18" t="s">
        <v>47</v>
      </c>
      <c r="F3" s="18" t="s">
        <v>48</v>
      </c>
      <c r="G3" s="18" t="s">
        <v>49</v>
      </c>
      <c r="H3" s="18" t="s">
        <v>50</v>
      </c>
      <c r="I3" s="18" t="s">
        <v>51</v>
      </c>
      <c r="J3" s="18" t="s">
        <v>52</v>
      </c>
      <c r="K3" s="18" t="s">
        <v>53</v>
      </c>
      <c r="L3" s="18" t="s">
        <v>54</v>
      </c>
      <c r="M3" s="18" t="s">
        <v>55</v>
      </c>
      <c r="N3" s="18" t="s">
        <v>56</v>
      </c>
      <c r="O3" s="18" t="s">
        <v>57</v>
      </c>
      <c r="P3" s="18" t="s">
        <v>57</v>
      </c>
      <c r="Q3" s="18" t="s">
        <v>58</v>
      </c>
      <c r="R3" s="19">
        <f>281* $R$1 ^-0.63</f>
        <v>42.565468969226508</v>
      </c>
      <c r="S3" s="19">
        <f xml:space="preserve"> 30.34 * $R$1 ^-0.693</f>
        <v>3.8054129297182393</v>
      </c>
      <c r="T3" s="19">
        <f xml:space="preserve"> - 0.00004*$R$1^2 + 0.0217*$R$1 + 1.36</f>
        <v>1.778</v>
      </c>
      <c r="U3" s="19"/>
      <c r="V3" s="19">
        <f>681*$R$1^-0.583</f>
        <v>118.7535563488953</v>
      </c>
      <c r="W3" s="20">
        <f>2*'[1]DATOS SO2 Y CO2'!$B$30*'[1]FE COPERT 4'!W3</f>
        <v>7.1252133809337186E-3</v>
      </c>
      <c r="X3" s="19">
        <f t="shared" ref="X3:X11" si="0">(44.011*(V3/(12.011+1.008*1.8)))-(R3/28.011)-(S3/13.85)-((U3*AZ3)/12.011)-((AZ3*U3*BA3)/13.85)</f>
        <v>376.23902815035137</v>
      </c>
      <c r="Y3" s="19">
        <v>131</v>
      </c>
      <c r="Z3" s="19">
        <f>+('[1]N2O Y NH3 (C4)'!$D$28*$R$1+'[1]N2O Y NH3 (C4)'!$E$28)*'[1]N2O Y NH3 (C4)'!$C$28</f>
        <v>10</v>
      </c>
      <c r="AA3" s="19">
        <f>+('[1]N2O Y NH3 (C4)'!D227*'[1]FE COPERT 4'!S1+'[1]N2O Y NH3 (C4)'!E227)*'[1]N2O Y NH3 (C4)'!C227</f>
        <v>2</v>
      </c>
      <c r="AB3" s="21">
        <f>281* $AB$1 ^-0.63</f>
        <v>21.304484599550651</v>
      </c>
      <c r="AC3" s="21">
        <f xml:space="preserve"> 30.34 * $AB$1 ^-0.693</f>
        <v>1.7772837084838307</v>
      </c>
      <c r="AD3" s="21">
        <f xml:space="preserve"> - 0.00004*$AB$1^2 + 0.0217*$AB$1 + 1.36</f>
        <v>2.5179999999999998</v>
      </c>
      <c r="AE3" s="21"/>
      <c r="AF3" s="21">
        <v>67</v>
      </c>
      <c r="AG3" s="21">
        <f>2*'[1]DATOS SO2 Y CO2'!$B$30*'[1]FE COPERT 4'!AG3</f>
        <v>4.0200000000000001E-3</v>
      </c>
      <c r="AH3" s="21">
        <f t="shared" ref="AH3:AH11" si="1">(44.011*(AF3/(12.011+1.008*1.8)))-(AB3/28.011)-(AC3/13.85)-((AE3*AZ3)/12.011)-((AZ3*AE3*BA3)/13.85)</f>
        <v>212.39512856268774</v>
      </c>
      <c r="AI3" s="21">
        <v>86</v>
      </c>
      <c r="AJ3" s="21">
        <f>+('[1]N2O Y NH3 (C4)'!D45*'[1]FE COPERT 4'!AC1+'[1]N2O Y NH3 (C4)'!E45)*'[1]N2O Y NH3 (C4)'!C45</f>
        <v>6.5</v>
      </c>
      <c r="AK3" s="21">
        <f>+('[1]N2O Y NH3 (C4)'!D240*'[1]FE COPERT 4'!AC1+'[1]N2O Y NH3 (C4)'!E240)*'[1]N2O Y NH3 (C4)'!C240</f>
        <v>2</v>
      </c>
      <c r="AL3" s="22">
        <f>281* $AL$1 ^-0.63</f>
        <v>15.442098555399244</v>
      </c>
      <c r="AM3" s="22">
        <f xml:space="preserve"> 30.34 * $AL$1 ^-0.693</f>
        <v>1.2474282538311208</v>
      </c>
      <c r="AN3" s="22">
        <f xml:space="preserve"> - 0.00004*$AL$1^2 + 0.0217*$AL$1 + 1.36</f>
        <v>3.13</v>
      </c>
      <c r="AO3" s="22"/>
      <c r="AP3" s="22">
        <f>0.471*$AL$1 + 29.286</f>
        <v>76.385999999999996</v>
      </c>
      <c r="AQ3" s="22">
        <f>2*'[1]DATOS SO2 Y CO2'!$B$30*'[1]FE COPERT 4'!AQ3</f>
        <v>4.5831600000000002E-3</v>
      </c>
      <c r="AR3" s="19">
        <f t="shared" ref="AR3:AR11" si="2">(44.011*(AP3/(12.011+1.008*1.8)))-(AL3/28.011)-(AM3/13.85)-((AO3*AZ3)/12.011)-((AZ3*AO3*BA3)/13.85)</f>
        <v>242.52153795880133</v>
      </c>
      <c r="AS3" s="22">
        <v>41</v>
      </c>
      <c r="AT3" s="22">
        <f>+('[1]N2O Y NH3 (C4)'!D62*'[1]FE COPERT 4'!AM1+'[1]N2O Y NH3 (C4)'!E62)*'[1]N2O Y NH3 (C4)'!C62</f>
        <v>6.5</v>
      </c>
      <c r="AU3" s="22">
        <f>+('[1]N2O Y NH3 (C4)'!D255*'[1]FE COPERT 4'!AM1+'[1]N2O Y NH3 (C4)'!E255)*'[1]N2O Y NH3 (C4)'!C255</f>
        <v>2</v>
      </c>
      <c r="AV3" s="23" t="s">
        <v>59</v>
      </c>
      <c r="AW3" s="4" t="s">
        <v>60</v>
      </c>
      <c r="AX3" s="4" t="s">
        <v>61</v>
      </c>
      <c r="AY3" s="4" t="s">
        <v>62</v>
      </c>
      <c r="AZ3" s="24">
        <f>+'[1]DATOS SO2 Y CO2'!$D$81</f>
        <v>0.02</v>
      </c>
      <c r="BA3" s="24">
        <f>+'[1]DATOS SO2 Y CO2'!$E$81</f>
        <v>49</v>
      </c>
    </row>
    <row r="4" spans="1:53" ht="56.25">
      <c r="A4" s="25" t="s">
        <v>0</v>
      </c>
      <c r="B4" s="25" t="s">
        <v>46</v>
      </c>
      <c r="C4" s="25" t="s">
        <v>19</v>
      </c>
      <c r="D4" s="25" t="s">
        <v>3</v>
      </c>
      <c r="E4" s="26" t="s">
        <v>47</v>
      </c>
      <c r="F4" s="26" t="s">
        <v>48</v>
      </c>
      <c r="G4" s="26" t="s">
        <v>49</v>
      </c>
      <c r="H4" s="26" t="s">
        <v>50</v>
      </c>
      <c r="I4" s="27" t="s">
        <v>63</v>
      </c>
      <c r="J4" s="26" t="s">
        <v>52</v>
      </c>
      <c r="K4" s="27" t="s">
        <v>64</v>
      </c>
      <c r="L4" s="26" t="s">
        <v>54</v>
      </c>
      <c r="M4" s="26" t="s">
        <v>55</v>
      </c>
      <c r="N4" s="26" t="s">
        <v>56</v>
      </c>
      <c r="O4" s="26" t="s">
        <v>57</v>
      </c>
      <c r="P4" s="26" t="s">
        <v>57</v>
      </c>
      <c r="Q4" s="27" t="s">
        <v>58</v>
      </c>
      <c r="R4" s="19">
        <f>281* $R$1 ^-0.63</f>
        <v>42.565468969226508</v>
      </c>
      <c r="S4" s="19">
        <f xml:space="preserve"> 30.34 * $R$1 ^-0.693</f>
        <v>3.8054129297182393</v>
      </c>
      <c r="T4" s="28">
        <f xml:space="preserve"> 1.173 + 0.0225*$R$1 - 0.00014*$R$1^2</f>
        <v>1.5669999999999999</v>
      </c>
      <c r="U4" s="19"/>
      <c r="V4" s="28">
        <f>521*$R$1^-0.554</f>
        <v>99.098505669336319</v>
      </c>
      <c r="W4" s="20">
        <f>2*'[1]DATOS SO2 Y CO2'!$B$30*'[1]FE COPERT 4'!W4</f>
        <v>5.9459103401601791E-3</v>
      </c>
      <c r="X4" s="19">
        <f t="shared" si="0"/>
        <v>313.67024638215145</v>
      </c>
      <c r="Y4" s="19">
        <v>131</v>
      </c>
      <c r="Z4" s="19">
        <f>+('[1]N2O Y NH3 (C4)'!$D$28*$R$1+'[1]N2O Y NH3 (C4)'!$E$28)*'[1]N2O Y NH3 (C4)'!$C$28</f>
        <v>10</v>
      </c>
      <c r="AA4" s="19">
        <f>+('[1]N2O Y NH3 (C4)'!D227*'[1]FE COPERT 4'!S1+'[1]N2O Y NH3 (C4)'!E227)*'[1]N2O Y NH3 (C4)'!C227</f>
        <v>2</v>
      </c>
      <c r="AB4" s="21">
        <f>281* $AB$1 ^-0.63</f>
        <v>21.304484599550651</v>
      </c>
      <c r="AC4" s="21">
        <f xml:space="preserve"> 30.34 * $AB$1 ^-0.693</f>
        <v>1.7772837084838307</v>
      </c>
      <c r="AD4" s="29">
        <f xml:space="preserve"> 1.173 + 0.0225*$AB$1 - 0.00014*$AB$1^2</f>
        <v>2.0189999999999997</v>
      </c>
      <c r="AE4" s="21"/>
      <c r="AF4" s="29">
        <v>55</v>
      </c>
      <c r="AG4" s="21">
        <f>2*'[1]DATOS SO2 Y CO2'!$B$30*'[1]FE COPERT 4'!AG4</f>
        <v>3.3E-3</v>
      </c>
      <c r="AH4" s="21">
        <f t="shared" si="1"/>
        <v>174.19500415399068</v>
      </c>
      <c r="AI4" s="21">
        <v>86</v>
      </c>
      <c r="AJ4" s="21">
        <f>+('[1]N2O Y NH3 (C4)'!D45*'[1]FE COPERT 4'!AC1+'[1]N2O Y NH3 (C4)'!E45)*'[1]N2O Y NH3 (C4)'!C45</f>
        <v>6.5</v>
      </c>
      <c r="AK4" s="21">
        <f>+('[1]N2O Y NH3 (C4)'!D240*'[1]FE COPERT 4'!AC1+'[1]N2O Y NH3 (C4)'!E240)*'[1]N2O Y NH3 (C4)'!C240</f>
        <v>2</v>
      </c>
      <c r="AL4" s="22">
        <f>281* $AL$1 ^-0.63</f>
        <v>15.442098555399244</v>
      </c>
      <c r="AM4" s="22">
        <f xml:space="preserve"> 30.34 * $AL$1 ^-0.693</f>
        <v>1.2474282538311208</v>
      </c>
      <c r="AN4" s="30">
        <f xml:space="preserve"> 1.173 + 0.0225*$AL$1 - 0.00014*$AL$1^2</f>
        <v>2.0230000000000001</v>
      </c>
      <c r="AO4" s="22"/>
      <c r="AP4" s="30">
        <f>0.386*$AL$1 + 24.143</f>
        <v>62.743000000000002</v>
      </c>
      <c r="AQ4" s="22">
        <f>2*'[1]DATOS SO2 Y CO2'!$B$30*'[1]FE COPERT 4'!AQ4</f>
        <v>3.76458E-3</v>
      </c>
      <c r="AR4" s="19">
        <f t="shared" si="2"/>
        <v>199.09117984981353</v>
      </c>
      <c r="AS4" s="22">
        <v>41</v>
      </c>
      <c r="AT4" s="22">
        <f>+('[1]N2O Y NH3 (C4)'!D62*'[1]FE COPERT 4'!AM1+'[1]N2O Y NH3 (C4)'!E62)*'[1]N2O Y NH3 (C4)'!C62</f>
        <v>6.5</v>
      </c>
      <c r="AU4" s="22">
        <f>+('[1]N2O Y NH3 (C4)'!D255*'[1]FE COPERT 4'!AM1+'[1]N2O Y NH3 (C4)'!E255)*'[1]N2O Y NH3 (C4)'!C255</f>
        <v>2</v>
      </c>
      <c r="AV4" s="31" t="s">
        <v>65</v>
      </c>
      <c r="AW4" s="4" t="s">
        <v>60</v>
      </c>
      <c r="AX4" s="4" t="s">
        <v>61</v>
      </c>
      <c r="AY4" s="4" t="s">
        <v>62</v>
      </c>
      <c r="AZ4" s="24">
        <f>+'[1]DATOS SO2 Y CO2'!$D$81</f>
        <v>0.02</v>
      </c>
      <c r="BA4" s="24">
        <f>+'[1]DATOS SO2 Y CO2'!$E$81</f>
        <v>49</v>
      </c>
    </row>
    <row r="5" spans="1:53" ht="56.25">
      <c r="A5" s="25" t="s">
        <v>0</v>
      </c>
      <c r="B5" s="25" t="s">
        <v>46</v>
      </c>
      <c r="C5" s="25" t="s">
        <v>19</v>
      </c>
      <c r="D5" s="25" t="s">
        <v>3</v>
      </c>
      <c r="E5" s="26" t="s">
        <v>47</v>
      </c>
      <c r="F5" s="26" t="s">
        <v>48</v>
      </c>
      <c r="G5" s="26" t="s">
        <v>49</v>
      </c>
      <c r="H5" s="26" t="s">
        <v>50</v>
      </c>
      <c r="I5" s="27" t="s">
        <v>66</v>
      </c>
      <c r="J5" s="26" t="s">
        <v>52</v>
      </c>
      <c r="K5" s="27" t="s">
        <v>67</v>
      </c>
      <c r="L5" s="26" t="s">
        <v>54</v>
      </c>
      <c r="M5" s="26" t="s">
        <v>55</v>
      </c>
      <c r="N5" s="26" t="s">
        <v>56</v>
      </c>
      <c r="O5" s="26" t="s">
        <v>57</v>
      </c>
      <c r="P5" s="26" t="s">
        <v>57</v>
      </c>
      <c r="Q5" s="27" t="s">
        <v>58</v>
      </c>
      <c r="R5" s="19">
        <f>281* $R$1 ^-0.63</f>
        <v>42.565468969226508</v>
      </c>
      <c r="S5" s="19">
        <f xml:space="preserve"> 30.34 * $R$1 ^-0.693</f>
        <v>3.8054129297182393</v>
      </c>
      <c r="T5" s="28">
        <f>1.5 + 0.03*$R$1 + 0.0001*$R$1^2</f>
        <v>2.14</v>
      </c>
      <c r="U5" s="19"/>
      <c r="V5" s="28">
        <f>979*$R$1^-0.628</f>
        <v>149.18867420565951</v>
      </c>
      <c r="W5" s="20">
        <f>2*'[1]DATOS SO2 Y CO2'!$B$30*'[1]FE COPERT 4'!W5</f>
        <v>8.9513204523395708E-3</v>
      </c>
      <c r="X5" s="19">
        <f t="shared" si="0"/>
        <v>473.12446886049719</v>
      </c>
      <c r="Y5" s="19">
        <v>131</v>
      </c>
      <c r="Z5" s="19">
        <f>+('[1]N2O Y NH3 (C4)'!$D$28*$R$1+'[1]N2O Y NH3 (C4)'!$E$28)*'[1]N2O Y NH3 (C4)'!$C$28</f>
        <v>10</v>
      </c>
      <c r="AA5" s="19">
        <f>+('[1]N2O Y NH3 (C4)'!D227*'[1]FE COPERT 4'!S1+'[1]N2O Y NH3 (C4)'!E227)*'[1]N2O Y NH3 (C4)'!C227</f>
        <v>2</v>
      </c>
      <c r="AB5" s="21">
        <f>281* $AB$1 ^-0.63</f>
        <v>21.304484599550651</v>
      </c>
      <c r="AC5" s="21">
        <f xml:space="preserve"> 30.34 * $AB$1 ^-0.693</f>
        <v>1.7772837084838307</v>
      </c>
      <c r="AD5" s="29">
        <f>1.5 + 0.03*$AB$1 + 0.0001*$AB$1^2</f>
        <v>3.6599999999999997</v>
      </c>
      <c r="AE5" s="21"/>
      <c r="AF5" s="29">
        <v>80</v>
      </c>
      <c r="AG5" s="21">
        <f>2*'[1]DATOS SO2 Y CO2'!$B$30*'[1]FE COPERT 4'!AG5</f>
        <v>4.8000000000000004E-3</v>
      </c>
      <c r="AH5" s="21">
        <f t="shared" si="1"/>
        <v>253.77859667210956</v>
      </c>
      <c r="AI5" s="21">
        <v>86</v>
      </c>
      <c r="AJ5" s="21">
        <f>+('[1]N2O Y NH3 (C4)'!D45*'[1]FE COPERT 4'!AC1+'[1]N2O Y NH3 (C4)'!E45)*'[1]N2O Y NH3 (C4)'!C45</f>
        <v>6.5</v>
      </c>
      <c r="AK5" s="21">
        <f>+('[1]N2O Y NH3 (C4)'!D240*'[1]FE COPERT 4'!AC1+'[1]N2O Y NH3 (C4)'!E240)*'[1]N2O Y NH3 (C4)'!C240</f>
        <v>2</v>
      </c>
      <c r="AL5" s="22">
        <f>281* $AL$1 ^-0.63</f>
        <v>15.442098555399244</v>
      </c>
      <c r="AM5" s="22">
        <f xml:space="preserve"> 30.34 * $AL$1 ^-0.693</f>
        <v>1.2474282538311208</v>
      </c>
      <c r="AN5" s="30">
        <f>1.5 + 0.03*$AL$1 + 0.0001*$AL$1^2</f>
        <v>5.5</v>
      </c>
      <c r="AO5" s="22"/>
      <c r="AP5" s="30">
        <f>0.414*$AL$1 + 46.867</f>
        <v>88.266999999999996</v>
      </c>
      <c r="AQ5" s="22">
        <f>2*'[1]DATOS SO2 Y CO2'!$B$30*'[1]FE COPERT 4'!AQ5</f>
        <v>5.2960200000000002E-3</v>
      </c>
      <c r="AR5" s="19">
        <f t="shared" si="2"/>
        <v>280.34284446711212</v>
      </c>
      <c r="AS5" s="22">
        <v>41</v>
      </c>
      <c r="AT5" s="22">
        <f>+('[1]N2O Y NH3 (C4)'!D62*'[1]FE COPERT 4'!AM1+'[1]N2O Y NH3 (C4)'!E62)*'[1]N2O Y NH3 (C4)'!C62</f>
        <v>6.5</v>
      </c>
      <c r="AU5" s="22">
        <f>+('[1]N2O Y NH3 (C4)'!D255*'[1]FE COPERT 4'!AM1+'[1]N2O Y NH3 (C4)'!E255)*'[1]N2O Y NH3 (C4)'!C255</f>
        <v>2</v>
      </c>
      <c r="AV5" s="31" t="s">
        <v>68</v>
      </c>
      <c r="AW5" s="4" t="s">
        <v>60</v>
      </c>
      <c r="AX5" s="4" t="s">
        <v>61</v>
      </c>
      <c r="AY5" s="4" t="s">
        <v>62</v>
      </c>
      <c r="AZ5" s="24">
        <f>+'[1]DATOS SO2 Y CO2'!$D$81</f>
        <v>0.02</v>
      </c>
      <c r="BA5" s="24">
        <f>+'[1]DATOS SO2 Y CO2'!$E$81</f>
        <v>49</v>
      </c>
    </row>
    <row r="6" spans="1:53" ht="56.25">
      <c r="A6" s="1" t="s">
        <v>0</v>
      </c>
      <c r="B6" s="1" t="s">
        <v>46</v>
      </c>
      <c r="C6" s="1" t="s">
        <v>19</v>
      </c>
      <c r="D6" s="1" t="s">
        <v>1</v>
      </c>
      <c r="E6" s="18" t="s">
        <v>69</v>
      </c>
      <c r="F6" s="18" t="s">
        <v>70</v>
      </c>
      <c r="G6" s="18" t="s">
        <v>71</v>
      </c>
      <c r="H6" s="18" t="s">
        <v>72</v>
      </c>
      <c r="I6" s="18" t="s">
        <v>71</v>
      </c>
      <c r="J6" s="18" t="s">
        <v>73</v>
      </c>
      <c r="K6" s="18" t="s">
        <v>74</v>
      </c>
      <c r="L6" s="18" t="s">
        <v>54</v>
      </c>
      <c r="M6" s="18" t="s">
        <v>55</v>
      </c>
      <c r="N6" s="18" t="s">
        <v>75</v>
      </c>
      <c r="O6" s="18" t="s">
        <v>57</v>
      </c>
      <c r="P6" s="18" t="s">
        <v>57</v>
      </c>
      <c r="Q6" s="18" t="s">
        <v>58</v>
      </c>
      <c r="R6" s="19">
        <f xml:space="preserve"> ($C$203 + $E$203 * $R$1 + $G$203 * $R$1^2)/(1 + $D$203 * $R$1 + $F$203 * $R$1^2)</f>
        <v>2.9460202424090962</v>
      </c>
      <c r="S6" s="19">
        <f xml:space="preserve"> ($C$205 + $E$205* $R$1 + $G$205* $R$1^2)/(1 + $D$205* $R$1 + $F$205* $R$1^2)</f>
        <v>0.29975320829220142</v>
      </c>
      <c r="T6" s="19">
        <f xml:space="preserve"> ($C$207 + $E$207 * $R$1 + $G$207 * $R$1^2)/(1 + $D$207 * $R$1 + $F$207 * $R$1^2)</f>
        <v>0.36243999999999998</v>
      </c>
      <c r="U6" s="19">
        <f>0.00322</f>
        <v>3.2200000000000002E-3</v>
      </c>
      <c r="V6" s="19">
        <f>($D$161+$F$161*$R$1+$H$161*$R$1^2)/(1+$E$161*$R$1+$G$161*$R$1^2)</f>
        <v>80.161943319838059</v>
      </c>
      <c r="W6" s="20">
        <f>2*'[1]DATOS SO2 Y CO2'!$B$30*'[1]FE COPERT 4'!W6</f>
        <v>4.8097165991902837E-3</v>
      </c>
      <c r="X6" s="19">
        <f t="shared" si="0"/>
        <v>255.05598845495987</v>
      </c>
      <c r="Y6" s="19">
        <v>26</v>
      </c>
      <c r="Z6" s="19">
        <f>+('[1]N2O Y NH3 (C4)'!$D$29*$R$1+'[1]N2O Y NH3 (C4)'!$E$29)*'[1]N2O Y NH3 (C4)'!$C$29</f>
        <v>21.344408784000002</v>
      </c>
      <c r="AA6" s="19">
        <f>+('[1]N2O Y NH3 (C4)'!D228*'[1]FE COPERT 4'!S1+'[1]N2O Y NH3 (C4)'!E228)*'[1]N2O Y NH3 (C4)'!C228</f>
        <v>70</v>
      </c>
      <c r="AB6" s="21">
        <f xml:space="preserve"> ($C$203 + $E$203 * $AB$1 + $G$203 * $AB$1^2)/(1 + $D$203 * $AB$1 + $F$203 * $AB$1^2)</f>
        <v>1.4101448187889247</v>
      </c>
      <c r="AC6" s="21">
        <f xml:space="preserve"> ($C$205 + $E$205* $AB$1 + $G$205* $AB$1^2)/(1 + $D$205* $AB$1 + $F$205* $AB$1^2)</f>
        <v>0.13277996623522792</v>
      </c>
      <c r="AD6" s="21">
        <f xml:space="preserve"> ($C$207 + $E$207 * $AB$1 + $G$207 * $AB$1^2)/(1 + $D$207 * $AB$1 + $F$207 * $AB$1^2)</f>
        <v>0.26196000000000003</v>
      </c>
      <c r="AE6" s="21">
        <f>0.00184</f>
        <v>1.8400000000000001E-3</v>
      </c>
      <c r="AF6" s="21">
        <f>($D$161+$F$161*$AB$1+$H$161*$AB$1^2)/(1+$E$161*$AB$1+$G$161*$AB$1^2)</f>
        <v>49.773509693785101</v>
      </c>
      <c r="AG6" s="21">
        <f>2*'[1]DATOS SO2 Y CO2'!$B$30*'[1]FE COPERT 4'!AG6</f>
        <v>2.986410581627106E-3</v>
      </c>
      <c r="AH6" s="21">
        <f t="shared" si="1"/>
        <v>158.38613767725215</v>
      </c>
      <c r="AI6" s="21">
        <v>16</v>
      </c>
      <c r="AJ6" s="21">
        <f>+('[1]N2O Y NH3 (C4)'!D46*'[1]FE COPERT 4'!AC1+'[1]N2O Y NH3 (C4)'!E46)*'[1]N2O Y NH3 (C4)'!C46</f>
        <v>7.8299231199999992</v>
      </c>
      <c r="AK6" s="21">
        <f>+('[1]N2O Y NH3 (C4)'!D241*'[1]FE COPERT 4'!AC1+'[1]N2O Y NH3 (C4)'!E241)*'[1]N2O Y NH3 (C4)'!C241</f>
        <v>130.86946688399999</v>
      </c>
      <c r="AL6" s="22">
        <f xml:space="preserve"> ($C$203 + $E$203 * $AL$1 + $G$203 * $AL$1^2)/(1 + $D$203 * $AL$1 + $F$203 * $AL$1^2)</f>
        <v>1.7539503386004516</v>
      </c>
      <c r="AM6" s="22">
        <f xml:space="preserve"> ($C$205 + $E$205* $AL$1 + $G$205* $AL$1^2)/(1 + $D$205* $AL$1 + $F$205* $AL$1^2)</f>
        <v>0.11032786885245903</v>
      </c>
      <c r="AN6" s="22">
        <f xml:space="preserve"> ($C$207 + $E$207 * $AL$1 + $G$207 * $AL$1^2)/(1 + $D$207 * $AL$1 + $F$207 * $AL$1^2)</f>
        <v>0.46099999999999997</v>
      </c>
      <c r="AO6" s="22">
        <f xml:space="preserve"> 0.0019</f>
        <v>1.9E-3</v>
      </c>
      <c r="AP6" s="22">
        <f>($D$161+$F$161*$AL$1+$H$161*$AL$1^2)/(1+$E$161*$AL$1+$G$161*$AL$1^2)</f>
        <v>51.453744493392065</v>
      </c>
      <c r="AQ6" s="32">
        <f>2*'[1]DATOS SO2 Y CO2'!$B$30*'[1]FE COPERT 4'!AQ6</f>
        <v>3.0872246696035241E-3</v>
      </c>
      <c r="AR6" s="19">
        <f t="shared" si="2"/>
        <v>163.72424572928972</v>
      </c>
      <c r="AS6" s="22">
        <v>14</v>
      </c>
      <c r="AT6" s="22">
        <f>+('[1]N2O Y NH3 (C4)'!D63*'[1]FE COPERT 4'!AM1+'[1]N2O Y NH3 (C4)'!E63)*'[1]N2O Y NH3 (C4)'!C63</f>
        <v>3.9768109999999997</v>
      </c>
      <c r="AU6" s="22">
        <f>+('[1]N2O Y NH3 (C4)'!D256*'[1]FE COPERT 4'!AM1+'[1]N2O Y NH3 (C4)'!E256)*'[1]N2O Y NH3 (C4)'!C256</f>
        <v>73.153835401999999</v>
      </c>
      <c r="AV6" s="23" t="s">
        <v>76</v>
      </c>
      <c r="AW6" s="4" t="s">
        <v>60</v>
      </c>
      <c r="AX6" s="4" t="s">
        <v>61</v>
      </c>
      <c r="AZ6" s="24">
        <f>+'[1]DATOS SO2 Y CO2'!$D$82</f>
        <v>0.25</v>
      </c>
      <c r="BA6" s="24">
        <f>+'[1]DATOS SO2 Y CO2'!$E$82</f>
        <v>2.5</v>
      </c>
    </row>
    <row r="7" spans="1:53" ht="56.25">
      <c r="A7" s="25" t="s">
        <v>0</v>
      </c>
      <c r="B7" s="25" t="s">
        <v>46</v>
      </c>
      <c r="C7" s="25" t="s">
        <v>19</v>
      </c>
      <c r="D7" s="25" t="s">
        <v>1</v>
      </c>
      <c r="E7" s="26" t="s">
        <v>69</v>
      </c>
      <c r="F7" s="26" t="s">
        <v>70</v>
      </c>
      <c r="G7" s="26" t="s">
        <v>71</v>
      </c>
      <c r="H7" s="26" t="s">
        <v>72</v>
      </c>
      <c r="I7" s="26" t="s">
        <v>71</v>
      </c>
      <c r="J7" s="26" t="s">
        <v>73</v>
      </c>
      <c r="K7" s="27" t="s">
        <v>74</v>
      </c>
      <c r="L7" s="26" t="s">
        <v>54</v>
      </c>
      <c r="M7" s="26" t="s">
        <v>55</v>
      </c>
      <c r="N7" s="26" t="s">
        <v>75</v>
      </c>
      <c r="O7" s="26" t="s">
        <v>57</v>
      </c>
      <c r="P7" s="26" t="s">
        <v>57</v>
      </c>
      <c r="Q7" s="27" t="s">
        <v>58</v>
      </c>
      <c r="R7" s="19">
        <f xml:space="preserve"> ($C$203 + $E$203 * $R$1 + $G$203 * $R$1^2)/(1 + $D$203 * $R$1 + $F$203 * $R$1^2)</f>
        <v>2.9460202424090962</v>
      </c>
      <c r="S7" s="19">
        <f xml:space="preserve"> ($C$205 + $E$205* $R$1 + $G$205* $R$1^2)/(1 + $D$205* $R$1 + $F$205* $R$1^2)</f>
        <v>0.29975320829220142</v>
      </c>
      <c r="T7" s="19">
        <f xml:space="preserve"> ($C$207 + $E$207 * $R$1 + $G$207 * $R$1^2)/(1 + $D$207 * $R$1 + $F$207 * $R$1^2)</f>
        <v>0.36243999999999998</v>
      </c>
      <c r="U7" s="19">
        <f>0.00322</f>
        <v>3.2200000000000002E-3</v>
      </c>
      <c r="V7" s="28">
        <f>($D$285+$F$285*$R$1+$H$285*$R$1^2)/(1+$E$285*$R$1+$G$285*$R$1^2)</f>
        <v>65.15133098334752</v>
      </c>
      <c r="W7" s="20">
        <f>2*'[1]DATOS SO2 Y CO2'!$B$30*'[1]FE COPERT 4'!W7</f>
        <v>3.9090798590008516E-3</v>
      </c>
      <c r="X7" s="19">
        <f t="shared" si="0"/>
        <v>207.27205022957145</v>
      </c>
      <c r="Y7" s="19">
        <v>26</v>
      </c>
      <c r="Z7" s="19">
        <f>+('[1]N2O Y NH3 (C4)'!$D$29*$R$1+'[1]N2O Y NH3 (C4)'!$E$29)*'[1]N2O Y NH3 (C4)'!$C$29</f>
        <v>21.344408784000002</v>
      </c>
      <c r="AA7" s="19" t="e">
        <f>+('[1]N2O Y NH3 (C4)'!D229*'[1]FE COPERT 4'!S2+'[1]N2O Y NH3 (C4)'!E229)*'[1]N2O Y NH3 (C4)'!C229</f>
        <v>#VALUE!</v>
      </c>
      <c r="AB7" s="21">
        <f xml:space="preserve"> ($C$203 + $E$203 * $AB$1 + $G$203 * $AB$1^2)/(1 + $D$203 * $AB$1 + $F$203 * $AB$1^2)</f>
        <v>1.4101448187889247</v>
      </c>
      <c r="AC7" s="21">
        <f xml:space="preserve"> ($C$205 + $E$205* $AB$1 + $G$205* $AB$1^2)/(1 + $D$205* $AB$1 + $F$205* $AB$1^2)</f>
        <v>0.13277996623522792</v>
      </c>
      <c r="AD7" s="21">
        <f xml:space="preserve"> ($C$207 + $E$207 * $AB$1 + $G$207 * $AB$1^2)/(1 + $D$207 * $AB$1 + $F$207 * $AB$1^2)</f>
        <v>0.26196000000000003</v>
      </c>
      <c r="AE7" s="21">
        <f>0.00184</f>
        <v>1.8400000000000001E-3</v>
      </c>
      <c r="AF7" s="29">
        <f>($D$285+$F$285*$AB$1+$H$285*$AB$1^2)/(1+$E$285*$AB$1+$G$285*$AB$1^2)</f>
        <v>42.560125138499643</v>
      </c>
      <c r="AG7" s="21">
        <f>2*'[1]DATOS SO2 Y CO2'!$B$30*'[1]FE COPERT 4'!AG7</f>
        <v>2.5536075083099786E-3</v>
      </c>
      <c r="AH7" s="21">
        <f t="shared" si="1"/>
        <v>135.42345539227898</v>
      </c>
      <c r="AI7" s="21">
        <v>16</v>
      </c>
      <c r="AJ7" s="21" t="e">
        <f>+('[1]N2O Y NH3 (C4)'!D47*'[1]FE COPERT 4'!AC2+'[1]N2O Y NH3 (C4)'!E47)*'[1]N2O Y NH3 (C4)'!C47</f>
        <v>#VALUE!</v>
      </c>
      <c r="AK7" s="21" t="e">
        <f>+('[1]N2O Y NH3 (C4)'!D242*'[1]FE COPERT 4'!AC2+'[1]N2O Y NH3 (C4)'!E242)*'[1]N2O Y NH3 (C4)'!C242</f>
        <v>#VALUE!</v>
      </c>
      <c r="AL7" s="22">
        <f xml:space="preserve"> ($C$203 + $E$203 * $AL$1 + $G$203 * $AL$1^2)/(1 + $D$203 * $AL$1 + $F$203 * $AL$1^2)</f>
        <v>1.7539503386004516</v>
      </c>
      <c r="AM7" s="22">
        <f xml:space="preserve"> ($C$205 + $E$205* $AL$1 + $G$205* $AL$1^2)/(1 + $D$205* $AL$1 + $F$205* $AL$1^2)</f>
        <v>0.11032786885245903</v>
      </c>
      <c r="AN7" s="22">
        <f xml:space="preserve"> ($C$207 + $E$207 * $AL$1 + $G$207 * $AL$1^2)/(1 + $D$207 * $AL$1 + $F$207 * $AL$1^2)</f>
        <v>0.46099999999999997</v>
      </c>
      <c r="AO7" s="22">
        <f xml:space="preserve"> 0.0019</f>
        <v>1.9E-3</v>
      </c>
      <c r="AP7" s="30">
        <f>($D$285+$F$285*$AL$1+$H$285*$AL$1^2)/(1+$E$285*$AL$1+$G$285*$AL$1^2)</f>
        <v>46.176911544227885</v>
      </c>
      <c r="AQ7" s="32">
        <f>2*'[1]DATOS SO2 Y CO2'!$B$30*'[1]FE COPERT 4'!AQ7</f>
        <v>2.7706146926536729E-3</v>
      </c>
      <c r="AR7" s="19">
        <f t="shared" si="2"/>
        <v>146.92627280079108</v>
      </c>
      <c r="AS7" s="22">
        <v>14</v>
      </c>
      <c r="AT7" s="22" t="e">
        <f>+('[1]N2O Y NH3 (C4)'!D64*'[1]FE COPERT 4'!AM2+'[1]N2O Y NH3 (C4)'!E64)*'[1]N2O Y NH3 (C4)'!C64</f>
        <v>#VALUE!</v>
      </c>
      <c r="AU7" s="22" t="e">
        <f>+('[1]N2O Y NH3 (C4)'!D257*'[1]FE COPERT 4'!AM2+'[1]N2O Y NH3 (C4)'!E257)*'[1]N2O Y NH3 (C4)'!C257</f>
        <v>#VALUE!</v>
      </c>
      <c r="AV7" s="31" t="s">
        <v>77</v>
      </c>
      <c r="AW7" s="4" t="s">
        <v>60</v>
      </c>
      <c r="AX7" s="4" t="s">
        <v>61</v>
      </c>
      <c r="AZ7" s="24">
        <f>+'[1]DATOS SO2 Y CO2'!$D$82</f>
        <v>0.25</v>
      </c>
      <c r="BA7" s="24">
        <f>+'[1]DATOS SO2 Y CO2'!$E$82</f>
        <v>2.5</v>
      </c>
    </row>
    <row r="8" spans="1:53" ht="56.25">
      <c r="A8" s="25" t="s">
        <v>0</v>
      </c>
      <c r="B8" s="25" t="s">
        <v>46</v>
      </c>
      <c r="C8" s="25" t="s">
        <v>19</v>
      </c>
      <c r="D8" s="25" t="s">
        <v>1</v>
      </c>
      <c r="E8" s="26" t="s">
        <v>69</v>
      </c>
      <c r="F8" s="26" t="s">
        <v>70</v>
      </c>
      <c r="G8" s="26" t="s">
        <v>71</v>
      </c>
      <c r="H8" s="26" t="s">
        <v>72</v>
      </c>
      <c r="I8" s="26" t="s">
        <v>71</v>
      </c>
      <c r="J8" s="26" t="s">
        <v>73</v>
      </c>
      <c r="K8" s="27" t="s">
        <v>74</v>
      </c>
      <c r="L8" s="26" t="s">
        <v>54</v>
      </c>
      <c r="M8" s="26" t="s">
        <v>55</v>
      </c>
      <c r="N8" s="26" t="s">
        <v>75</v>
      </c>
      <c r="O8" s="26" t="s">
        <v>57</v>
      </c>
      <c r="P8" s="26" t="s">
        <v>57</v>
      </c>
      <c r="Q8" s="27" t="s">
        <v>58</v>
      </c>
      <c r="R8" s="19">
        <f xml:space="preserve"> ($C$203 + $E$203 * $R$1 + $G$203 * $R$1^2)/(1 + $D$203 * $R$1 + $F$203 * $R$1^2)</f>
        <v>2.9460202424090962</v>
      </c>
      <c r="S8" s="19">
        <f xml:space="preserve"> ($C$205 + $E$205* $R$1 + $G$205* $R$1^2)/(1 + $D$205* $R$1 + $F$205* $R$1^2)</f>
        <v>0.29975320829220142</v>
      </c>
      <c r="T8" s="19">
        <f xml:space="preserve"> ($C$207 + $E$207 * $R$1 + $G$207 * $R$1^2)/(1 + $D$207 * $R$1 + $F$207 * $R$1^2)</f>
        <v>0.36243999999999998</v>
      </c>
      <c r="U8" s="19">
        <f>0.00322</f>
        <v>3.2200000000000002E-3</v>
      </c>
      <c r="V8" s="28">
        <f>($D$299+$F$299*$R$1+$H$299*$R$1^2)/(1+$E$299*$R$1+$G$299*$R$1^2)</f>
        <v>103.70564808110065</v>
      </c>
      <c r="W8" s="20">
        <f>2*'[1]DATOS SO2 Y CO2'!$B$30*'[1]FE COPERT 4'!W8</f>
        <v>6.2223388848660389E-3</v>
      </c>
      <c r="X8" s="19">
        <f t="shared" si="0"/>
        <v>330.00369269844845</v>
      </c>
      <c r="Y8" s="19">
        <v>26</v>
      </c>
      <c r="Z8" s="19">
        <f>+('[1]N2O Y NH3 (C4)'!$D$29*$R$1+'[1]N2O Y NH3 (C4)'!$E$29)*'[1]N2O Y NH3 (C4)'!$C$29</f>
        <v>21.344408784000002</v>
      </c>
      <c r="AA8" s="19">
        <f>+('[1]N2O Y NH3 (C4)'!D230*'[1]FE COPERT 4'!S3+'[1]N2O Y NH3 (C4)'!E230)*'[1]N2O Y NH3 (C4)'!C230</f>
        <v>1.6379059454522642</v>
      </c>
      <c r="AB8" s="21">
        <f xml:space="preserve"> ($C$203 + $E$203 * $AB$1 + $G$203 * $AB$1^2)/(1 + $D$203 * $AB$1 + $F$203 * $AB$1^2)</f>
        <v>1.4101448187889247</v>
      </c>
      <c r="AC8" s="21">
        <f xml:space="preserve"> ($C$205 + $E$205* $AB$1 + $G$205* $AB$1^2)/(1 + $D$205* $AB$1 + $F$205* $AB$1^2)</f>
        <v>0.13277996623522792</v>
      </c>
      <c r="AD8" s="21">
        <f xml:space="preserve"> ($C$207 + $E$207 * $AB$1 + $G$207 * $AB$1^2)/(1 + $D$207 * $AB$1 + $F$207 * $AB$1^2)</f>
        <v>0.26196000000000003</v>
      </c>
      <c r="AE8" s="21">
        <f>0.00184</f>
        <v>1.8400000000000001E-3</v>
      </c>
      <c r="AF8" s="29">
        <f>($D$299+$F$299*$AB$1+$H$299*$AB$1^2)/(1+$E$299*$AB$1+$G$299*$AB$1^2)</f>
        <v>63.917491007194229</v>
      </c>
      <c r="AG8" s="21">
        <f>2*'[1]DATOS SO2 Y CO2'!$B$30*'[1]FE COPERT 4'!AG8</f>
        <v>3.8350494604316538E-3</v>
      </c>
      <c r="AH8" s="21">
        <f t="shared" si="1"/>
        <v>203.41129149446175</v>
      </c>
      <c r="AI8" s="21">
        <v>16</v>
      </c>
      <c r="AJ8" s="21">
        <f>+('[1]N2O Y NH3 (C4)'!D48*'[1]FE COPERT 4'!AC3+'[1]N2O Y NH3 (C4)'!E48)*'[1]N2O Y NH3 (C4)'!C48</f>
        <v>11.114572513367778</v>
      </c>
      <c r="AK8" s="21">
        <f>+('[1]N2O Y NH3 (C4)'!D243*'[1]FE COPERT 4'!AC3+'[1]N2O Y NH3 (C4)'!E243)*'[1]N2O Y NH3 (C4)'!C243</f>
        <v>147.8521876072914</v>
      </c>
      <c r="AL8" s="22">
        <f xml:space="preserve"> ($C$203 + $E$203 * $AL$1 + $G$203 * $AL$1^2)/(1 + $D$203 * $AL$1 + $F$203 * $AL$1^2)</f>
        <v>1.7539503386004516</v>
      </c>
      <c r="AM8" s="22">
        <f xml:space="preserve"> ($C$205 + $E$205* $AL$1 + $G$205* $AL$1^2)/(1 + $D$205* $AL$1 + $F$205* $AL$1^2)</f>
        <v>0.11032786885245903</v>
      </c>
      <c r="AN8" s="22">
        <f xml:space="preserve"> ($C$207 + $E$207 * $AL$1 + $G$207 * $AL$1^2)/(1 + $D$207 * $AL$1 + $F$207 * $AL$1^2)</f>
        <v>0.46099999999999997</v>
      </c>
      <c r="AO8" s="22">
        <f xml:space="preserve"> 0.0019</f>
        <v>1.9E-3</v>
      </c>
      <c r="AP8" s="30">
        <f>($D$299+$F$299*$AL$1+$H$299*$AL$1^2)/(1+$E$299*$AL$1+$G$299*$AL$1^2)</f>
        <v>64.867816091954012</v>
      </c>
      <c r="AQ8" s="32">
        <f>2*'[1]DATOS SO2 Y CO2'!$B$30*'[1]FE COPERT 4'!AQ8</f>
        <v>3.8920689655172406E-3</v>
      </c>
      <c r="AR8" s="19">
        <f t="shared" si="2"/>
        <v>206.42584605364272</v>
      </c>
      <c r="AS8" s="22">
        <v>14</v>
      </c>
      <c r="AT8" s="22">
        <f>+('[1]N2O Y NH3 (C4)'!D65*'[1]FE COPERT 4'!AM3+'[1]N2O Y NH3 (C4)'!E65)*'[1]N2O Y NH3 (C4)'!C65</f>
        <v>5.4143728837964344</v>
      </c>
      <c r="AU8" s="22">
        <f>+('[1]N2O Y NH3 (C4)'!D258*'[1]FE COPERT 4'!AM3+'[1]N2O Y NH3 (C4)'!E258)*'[1]N2O Y NH3 (C4)'!C258</f>
        <v>83.216776407812489</v>
      </c>
      <c r="AV8" s="31" t="s">
        <v>78</v>
      </c>
      <c r="AW8" s="4" t="s">
        <v>60</v>
      </c>
      <c r="AX8" s="4" t="s">
        <v>61</v>
      </c>
      <c r="AZ8" s="24">
        <f>+'[1]DATOS SO2 Y CO2'!$D$82</f>
        <v>0.25</v>
      </c>
      <c r="BA8" s="24">
        <f>+'[1]DATOS SO2 Y CO2'!$E$82</f>
        <v>2.5</v>
      </c>
    </row>
    <row r="9" spans="1:53" ht="56.25">
      <c r="A9" s="1" t="s">
        <v>0</v>
      </c>
      <c r="B9" s="1" t="s">
        <v>46</v>
      </c>
      <c r="C9" s="1" t="s">
        <v>19</v>
      </c>
      <c r="D9" s="1" t="s">
        <v>2</v>
      </c>
      <c r="E9" s="18" t="s">
        <v>79</v>
      </c>
      <c r="F9" s="18" t="s">
        <v>80</v>
      </c>
      <c r="G9" s="18" t="s">
        <v>71</v>
      </c>
      <c r="H9" s="18" t="s">
        <v>72</v>
      </c>
      <c r="I9" s="18" t="s">
        <v>71</v>
      </c>
      <c r="J9" s="18" t="s">
        <v>81</v>
      </c>
      <c r="K9" s="18" t="s">
        <v>74</v>
      </c>
      <c r="L9" s="18" t="s">
        <v>54</v>
      </c>
      <c r="M9" s="18" t="s">
        <v>55</v>
      </c>
      <c r="N9" s="18" t="s">
        <v>82</v>
      </c>
      <c r="O9" s="18" t="s">
        <v>57</v>
      </c>
      <c r="P9" s="18" t="s">
        <v>57</v>
      </c>
      <c r="Q9" s="18" t="s">
        <v>58</v>
      </c>
      <c r="R9" s="19">
        <f xml:space="preserve"> ($C$204 + $E$204 * $R$1 + $G$204 * $R$1^2)/(1 + $D$204 * $R$1 + $F$204 * $R$1^2)</f>
        <v>0.49147261397179404</v>
      </c>
      <c r="S9" s="19">
        <f xml:space="preserve"> ($C$206 + $E$206* $R$1 + $G$206* $R$1^2)/(1 + $D$206* $R$1 + $F$206* $R$1^2)</f>
        <v>2.3386511965192161E-2</v>
      </c>
      <c r="T9" s="19">
        <f xml:space="preserve"> ($C$208 + $E$208 * $R$1 + $G$208 * $R$1^2)/(1 + $D$208 * $R$1 + $F$208 * $R$1^2)</f>
        <v>8.5132404000621845E-2</v>
      </c>
      <c r="U9" s="19">
        <f>0.00128</f>
        <v>1.2800000000000001E-3</v>
      </c>
      <c r="V9" s="19">
        <f>($D$163+$F$163*$R$1+$H$163*$R$1^2)/(1+$E$163*$R$1+$G$163*$R$1^2)</f>
        <v>82.104957115859875</v>
      </c>
      <c r="W9" s="33">
        <f>2*'[1]DATOS SO2 Y CO2'!$B$30*'[1]FE COPERT 4'!W9</f>
        <v>4.9262974269515926E-3</v>
      </c>
      <c r="X9" s="19">
        <f t="shared" si="0"/>
        <v>261.34900620203121</v>
      </c>
      <c r="Y9" s="19">
        <v>3</v>
      </c>
      <c r="Z9" s="19">
        <f>+('[1]N2O Y NH3 (C4)'!$D$33*$R$1+'[1]N2O Y NH3 (C4)'!$E$33)*'[1]N2O Y NH3 (C4)'!$C$33</f>
        <v>1.0777481</v>
      </c>
      <c r="AA9" s="19">
        <f>+('[1]N2O Y NH3 (C4)'!D230*'[1]FE COPERT 4'!S1+'[1]N2O Y NH3 (C4)'!E230)*'[1]N2O Y NH3 (C4)'!C230</f>
        <v>1.6378497799999998</v>
      </c>
      <c r="AB9" s="21">
        <f xml:space="preserve"> ($C$204 + $E$204 * $AB$1 + $G$204 * $AB$1^2)/(1 + $D$204 * $AB$1 + $F$204 * $AB$1^2)</f>
        <v>0.6132932965427691</v>
      </c>
      <c r="AC9" s="21">
        <f xml:space="preserve"> ($C$206 + $E$206* $AB$1 + $G$206* $AB$1^2)/(1 + $D$206* $AB$1 + $F$206* $AB$1^2)</f>
        <v>1.3807098519815377E-2</v>
      </c>
      <c r="AD9" s="21">
        <f xml:space="preserve"> ($C$208 + $E$208 * $AB$1 + $G$208 * $AB$1^2)/(1 + $D$208 * $AB$1 + $F$208 * $AB$1^2)</f>
        <v>6.5725688698530113E-2</v>
      </c>
      <c r="AE9" s="21">
        <f>0.000836</f>
        <v>8.3600000000000005E-4</v>
      </c>
      <c r="AF9" s="21">
        <f>($D$163+$F$163*$AB$1+$H$163*$AB$1^2)/(1+$E$163*$AB$1+$G$163*$AB$1^2)</f>
        <v>50.896194035542678</v>
      </c>
      <c r="AG9" s="21">
        <f>2*'[1]DATOS SO2 Y CO2'!$B$30*'[1]FE COPERT 4'!AG9</f>
        <v>3.0537716421325609E-3</v>
      </c>
      <c r="AH9" s="21">
        <f t="shared" si="1"/>
        <v>161.99714943808675</v>
      </c>
      <c r="AI9" s="21">
        <v>2</v>
      </c>
      <c r="AJ9" s="21">
        <f>+('[1]N2O Y NH3 (C4)'!D51*'[1]FE COPERT 4'!AC1+'[1]N2O Y NH3 (C4)'!E51)*'[1]N2O Y NH3 (C4)'!C51</f>
        <v>0.26252429999999999</v>
      </c>
      <c r="AK9" s="21">
        <f>+('[1]N2O Y NH3 (C4)'!D245*'[1]FE COPERT 4'!AC1+'[1]N2O Y NH3 (C4)'!E245)*'[1]N2O Y NH3 (C4)'!C245</f>
        <v>29.323104430000001</v>
      </c>
      <c r="AL9" s="22">
        <f xml:space="preserve"> ($C$204 + $E$204 * $AL$1 + $G$204 * $AL$1^2)/(1 + $D$204 * $AL$1 + $F$204 * $AL$1^2)</f>
        <v>1.1420358152686145</v>
      </c>
      <c r="AM9" s="22">
        <f xml:space="preserve"> ($C$206 + $E$206* $AL$1 + $G$206* $AL$1^2)/(1 + $D$206* $AL$1 + $F$206* $AL$1^2)</f>
        <v>2.5523465703971116E-2</v>
      </c>
      <c r="AN9" s="22">
        <f xml:space="preserve"> ($C$208 + $E$208 * $AL$1 + $G$208 * $AL$1^2)/(1 + $D$208 * $AL$1 + $F$208 * $AL$1^2)</f>
        <v>5.1977401129943486E-2</v>
      </c>
      <c r="AO9" s="22">
        <f xml:space="preserve"> 0.00119</f>
        <v>1.1900000000000001E-3</v>
      </c>
      <c r="AP9" s="22">
        <f>($D$163+$F$163*$AL$1+$H$163*$AL$1^2)/(1+$E$163*$AL$1+$G$163*$AL$1^2)</f>
        <v>53.020344287949925</v>
      </c>
      <c r="AQ9" s="32">
        <f>2*'[1]DATOS SO2 Y CO2'!$B$30*'[1]FE COPERT 4'!AQ9</f>
        <v>3.1812206572769956E-3</v>
      </c>
      <c r="AR9" s="19">
        <f t="shared" si="2"/>
        <v>168.73931164792353</v>
      </c>
      <c r="AS9" s="22">
        <v>4</v>
      </c>
      <c r="AT9" s="22">
        <f>+('[1]N2O Y NH3 (C4)'!D68*'[1]FE COPERT 4'!AM1+'[1]N2O Y NH3 (C4)'!E68)*'[1]N2O Y NH3 (C4)'!C68</f>
        <v>0.18375830999999998</v>
      </c>
      <c r="AU9" s="22">
        <f>+('[1]N2O Y NH3 (C4)'!D260*'[1]FE COPERT 4'!AM1+'[1]N2O Y NH3 (C4)'!E260)*'[1]N2O Y NH3 (C4)'!C260</f>
        <v>64.535784370000002</v>
      </c>
      <c r="AV9" s="4" t="s">
        <v>83</v>
      </c>
      <c r="AW9" s="4" t="s">
        <v>60</v>
      </c>
      <c r="AX9" s="4" t="s">
        <v>61</v>
      </c>
      <c r="AZ9" s="24">
        <f>+'[1]DATOS SO2 Y CO2'!$D$83</f>
        <v>0.15</v>
      </c>
      <c r="BA9" s="24">
        <f>+'[1]DATOS SO2 Y CO2'!$E$83</f>
        <v>3</v>
      </c>
    </row>
    <row r="10" spans="1:53" ht="56.25">
      <c r="A10" s="25" t="s">
        <v>0</v>
      </c>
      <c r="B10" s="25" t="s">
        <v>46</v>
      </c>
      <c r="C10" s="25" t="s">
        <v>19</v>
      </c>
      <c r="D10" s="25" t="s">
        <v>2</v>
      </c>
      <c r="E10" s="26" t="s">
        <v>79</v>
      </c>
      <c r="F10" s="26" t="s">
        <v>80</v>
      </c>
      <c r="G10" s="26" t="s">
        <v>71</v>
      </c>
      <c r="H10" s="26" t="s">
        <v>72</v>
      </c>
      <c r="I10" s="26" t="s">
        <v>71</v>
      </c>
      <c r="J10" s="26" t="s">
        <v>81</v>
      </c>
      <c r="K10" s="27" t="s">
        <v>74</v>
      </c>
      <c r="L10" s="26" t="s">
        <v>54</v>
      </c>
      <c r="M10" s="26" t="s">
        <v>55</v>
      </c>
      <c r="N10" s="26" t="s">
        <v>82</v>
      </c>
      <c r="O10" s="26" t="s">
        <v>57</v>
      </c>
      <c r="P10" s="26" t="s">
        <v>57</v>
      </c>
      <c r="Q10" s="26" t="s">
        <v>58</v>
      </c>
      <c r="R10" s="19">
        <f xml:space="preserve"> ($C$204 + $E$204 * $R$1 + $G$204 * $R$1^2)/(1 + $D$204 * $R$1 + $F$204 * $R$1^2)</f>
        <v>0.49147261397179404</v>
      </c>
      <c r="S10" s="19">
        <f xml:space="preserve"> ($C$206 + $E$206* $R$1 + $G$206* $R$1^2)/(1 + $D$206* $R$1 + $F$206* $R$1^2)</f>
        <v>2.3386511965192161E-2</v>
      </c>
      <c r="T10" s="19">
        <f xml:space="preserve"> ($C$208 + $E$208 * $R$1 + $G$208 * $R$1^2)/(1 + $D$208 * $R$1 + $F$208 * $R$1^2)</f>
        <v>8.5132404000621845E-2</v>
      </c>
      <c r="U10" s="19">
        <f>0.00128</f>
        <v>1.2800000000000001E-3</v>
      </c>
      <c r="V10" s="28">
        <f>($D$163+$F$163*$R$1+$H$163*$R$1^2)/(1+$E$163*$R$1+$G$163*$R$1^2)</f>
        <v>82.104957115859875</v>
      </c>
      <c r="W10" s="33">
        <f>2*'[1]DATOS SO2 Y CO2'!$B$30*'[1]FE COPERT 4'!W10</f>
        <v>4.9262974269515926E-3</v>
      </c>
      <c r="X10" s="19">
        <f t="shared" si="0"/>
        <v>261.34900620203121</v>
      </c>
      <c r="Y10" s="19">
        <v>3</v>
      </c>
      <c r="Z10" s="19">
        <f>+('[1]N2O Y NH3 (C4)'!$D$33*$R$1+'[1]N2O Y NH3 (C4)'!$E$33)*'[1]N2O Y NH3 (C4)'!$C$33</f>
        <v>1.0777481</v>
      </c>
      <c r="AA10" s="19" t="e">
        <f>+('[1]N2O Y NH3 (C4)'!D231*'[1]FE COPERT 4'!S2+'[1]N2O Y NH3 (C4)'!E231)*'[1]N2O Y NH3 (C4)'!C231</f>
        <v>#VALUE!</v>
      </c>
      <c r="AB10" s="21">
        <f xml:space="preserve"> ($C$204 + $E$204 * $AB$1 + $G$204 * $AB$1^2)/(1 + $D$204 * $AB$1 + $F$204 * $AB$1^2)</f>
        <v>0.6132932965427691</v>
      </c>
      <c r="AC10" s="21">
        <f xml:space="preserve"> ($C$206 + $E$206* $AB$1 + $G$206* $AB$1^2)/(1 + $D$206* $AB$1 + $F$206* $AB$1^2)</f>
        <v>1.3807098519815377E-2</v>
      </c>
      <c r="AD10" s="21">
        <f xml:space="preserve"> ($C$208 + $E$208 * $AB$1 + $G$208 * $AB$1^2)/(1 + $D$208 * $AB$1 + $F$208 * $AB$1^2)</f>
        <v>6.5725688698530113E-2</v>
      </c>
      <c r="AE10" s="21">
        <f>0.000836</f>
        <v>8.3600000000000005E-4</v>
      </c>
      <c r="AF10" s="29">
        <f>($D$163+$F$163*$AB$1+$H$163*$AB$1^2)/(1+$E$163*$AB$1+$G$163*$AB$1^2)</f>
        <v>50.896194035542678</v>
      </c>
      <c r="AG10" s="21">
        <f>2*'[1]DATOS SO2 Y CO2'!$B$30*'[1]FE COPERT 4'!AG10</f>
        <v>3.0537716421325609E-3</v>
      </c>
      <c r="AH10" s="21">
        <f t="shared" si="1"/>
        <v>161.99714943808675</v>
      </c>
      <c r="AI10" s="21">
        <v>2</v>
      </c>
      <c r="AJ10" s="21" t="e">
        <f>+('[1]N2O Y NH3 (C4)'!D52*'[1]FE COPERT 4'!AC2+'[1]N2O Y NH3 (C4)'!E52)*'[1]N2O Y NH3 (C4)'!C52</f>
        <v>#VALUE!</v>
      </c>
      <c r="AK10" s="21" t="e">
        <f>+('[1]N2O Y NH3 (C4)'!D246*'[1]FE COPERT 4'!AC2+'[1]N2O Y NH3 (C4)'!E246)*'[1]N2O Y NH3 (C4)'!C246</f>
        <v>#VALUE!</v>
      </c>
      <c r="AL10" s="22">
        <f xml:space="preserve"> ($C$204 + $E$204 * $AL$1 + $G$204 * $AL$1^2)/(1 + $D$204 * $AL$1 + $F$204 * $AL$1^2)</f>
        <v>1.1420358152686145</v>
      </c>
      <c r="AM10" s="22">
        <f xml:space="preserve"> ($C$206 + $E$206* $AL$1 + $G$206* $AL$1^2)/(1 + $D$206* $AL$1 + $F$206* $AL$1^2)</f>
        <v>2.5523465703971116E-2</v>
      </c>
      <c r="AN10" s="22">
        <f xml:space="preserve"> ($C$208 + $E$208 * $AL$1 + $G$208 * $AL$1^2)/(1 + $D$208 * $AL$1 + $F$208 * $AL$1^2)</f>
        <v>5.1977401129943486E-2</v>
      </c>
      <c r="AO10" s="22">
        <f xml:space="preserve"> 0.00119</f>
        <v>1.1900000000000001E-3</v>
      </c>
      <c r="AP10" s="30">
        <f>($D$163+$F$163*$AL$1+$H$163*$AL$1^2)/(1+$E$163*$AL$1+$G$163*$AL$1^2)</f>
        <v>53.020344287949925</v>
      </c>
      <c r="AQ10" s="32">
        <f>2*'[1]DATOS SO2 Y CO2'!$B$30*'[1]FE COPERT 4'!AQ10</f>
        <v>3.1812206572769956E-3</v>
      </c>
      <c r="AR10" s="19">
        <f t="shared" si="2"/>
        <v>168.73931164792353</v>
      </c>
      <c r="AS10" s="22">
        <v>4</v>
      </c>
      <c r="AT10" s="22" t="e">
        <f>+('[1]N2O Y NH3 (C4)'!D69*'[1]FE COPERT 4'!AM2+'[1]N2O Y NH3 (C4)'!E69)*'[1]N2O Y NH3 (C4)'!C69</f>
        <v>#VALUE!</v>
      </c>
      <c r="AU10" s="22" t="e">
        <f>+('[1]N2O Y NH3 (C4)'!D261*'[1]FE COPERT 4'!AM2+'[1]N2O Y NH3 (C4)'!E261)*'[1]N2O Y NH3 (C4)'!C261</f>
        <v>#VALUE!</v>
      </c>
      <c r="AV10" s="4" t="s">
        <v>83</v>
      </c>
      <c r="AW10" s="4" t="s">
        <v>60</v>
      </c>
      <c r="AX10" s="4" t="s">
        <v>61</v>
      </c>
      <c r="AZ10" s="24">
        <f>+'[1]DATOS SO2 Y CO2'!$D$83</f>
        <v>0.15</v>
      </c>
      <c r="BA10" s="24">
        <f>+'[1]DATOS SO2 Y CO2'!$E$83</f>
        <v>3</v>
      </c>
    </row>
    <row r="11" spans="1:53" ht="56.25">
      <c r="A11" s="25" t="s">
        <v>0</v>
      </c>
      <c r="B11" s="25" t="s">
        <v>46</v>
      </c>
      <c r="C11" s="25" t="s">
        <v>19</v>
      </c>
      <c r="D11" s="25" t="s">
        <v>2</v>
      </c>
      <c r="E11" s="26" t="s">
        <v>79</v>
      </c>
      <c r="F11" s="26" t="s">
        <v>80</v>
      </c>
      <c r="G11" s="26" t="s">
        <v>71</v>
      </c>
      <c r="H11" s="26" t="s">
        <v>72</v>
      </c>
      <c r="I11" s="26" t="s">
        <v>71</v>
      </c>
      <c r="J11" s="26" t="s">
        <v>81</v>
      </c>
      <c r="K11" s="27" t="s">
        <v>74</v>
      </c>
      <c r="L11" s="26" t="s">
        <v>54</v>
      </c>
      <c r="M11" s="26" t="s">
        <v>55</v>
      </c>
      <c r="N11" s="26" t="s">
        <v>82</v>
      </c>
      <c r="O11" s="26" t="s">
        <v>57</v>
      </c>
      <c r="P11" s="26" t="s">
        <v>57</v>
      </c>
      <c r="Q11" s="26" t="s">
        <v>58</v>
      </c>
      <c r="R11" s="19">
        <f xml:space="preserve"> ($C$204 + $E$204 * $R$1 + $G$204 * $R$1^2)/(1 + $D$204 * $R$1 + $F$204 * $R$1^2)</f>
        <v>0.49147261397179404</v>
      </c>
      <c r="S11" s="19">
        <f xml:space="preserve"> ($C$206 + $E$206* $R$1 + $G$206* $R$1^2)/(1 + $D$206* $R$1 + $F$206* $R$1^2)</f>
        <v>2.3386511965192161E-2</v>
      </c>
      <c r="T11" s="19">
        <f xml:space="preserve"> ($C$208 + $E$208 * $R$1 + $G$208 * $R$1^2)/(1 + $D$208 * $R$1 + $F$208 * $R$1^2)</f>
        <v>8.5132404000621845E-2</v>
      </c>
      <c r="U11" s="19">
        <f>0.00128</f>
        <v>1.2800000000000001E-3</v>
      </c>
      <c r="V11" s="28">
        <f>($D$163+$F$163*$R$1+$H$163*$R$1^2)/(1+$E$163*$R$1+$G$163*$R$1^2)</f>
        <v>82.104957115859875</v>
      </c>
      <c r="W11" s="33">
        <f>2*'[1]DATOS SO2 Y CO2'!$B$30*'[1]FE COPERT 4'!W11</f>
        <v>4.9262974269515926E-3</v>
      </c>
      <c r="X11" s="19">
        <f t="shared" si="0"/>
        <v>261.34900620203121</v>
      </c>
      <c r="Y11" s="19">
        <v>3</v>
      </c>
      <c r="Z11" s="19">
        <f>+('[1]N2O Y NH3 (C4)'!$D$33*$R$1+'[1]N2O Y NH3 (C4)'!$E$33)*'[1]N2O Y NH3 (C4)'!$C$33</f>
        <v>1.0777481</v>
      </c>
      <c r="AA11" s="19">
        <f>+('[1]N2O Y NH3 (C4)'!D232*'[1]FE COPERT 4'!S3+'[1]N2O Y NH3 (C4)'!E232)*'[1]N2O Y NH3 (C4)'!C232</f>
        <v>1.6379059454522642</v>
      </c>
      <c r="AB11" s="21">
        <f xml:space="preserve"> ($C$204 + $E$204 * $AB$1 + $G$204 * $AB$1^2)/(1 + $D$204 * $AB$1 + $F$204 * $AB$1^2)</f>
        <v>0.6132932965427691</v>
      </c>
      <c r="AC11" s="21">
        <f xml:space="preserve"> ($C$206 + $E$206* $AB$1 + $G$206* $AB$1^2)/(1 + $D$206* $AB$1 + $F$206* $AB$1^2)</f>
        <v>1.3807098519815377E-2</v>
      </c>
      <c r="AD11" s="21">
        <f xml:space="preserve"> ($C$208 + $E$208 * $AB$1 + $G$208 * $AB$1^2)/(1 + $D$208 * $AB$1 + $F$208 * $AB$1^2)</f>
        <v>6.5725688698530113E-2</v>
      </c>
      <c r="AE11" s="21">
        <f>0.000836</f>
        <v>8.3600000000000005E-4</v>
      </c>
      <c r="AF11" s="29">
        <f>($D$163+$F$163*$AB$1+$H$163*$AB$1^2)/(1+$E$163*$AB$1+$G$163*$AB$1^2)</f>
        <v>50.896194035542678</v>
      </c>
      <c r="AG11" s="21">
        <f>2*'[1]DATOS SO2 Y CO2'!$B$30*'[1]FE COPERT 4'!AG11</f>
        <v>3.0537716421325609E-3</v>
      </c>
      <c r="AH11" s="21">
        <f t="shared" si="1"/>
        <v>161.99714943808675</v>
      </c>
      <c r="AI11" s="21">
        <v>2</v>
      </c>
      <c r="AJ11" s="21">
        <f>+('[1]N2O Y NH3 (C4)'!D53*'[1]FE COPERT 4'!AC3+'[1]N2O Y NH3 (C4)'!E53)*'[1]N2O Y NH3 (C4)'!C53</f>
        <v>1.4961968534376999</v>
      </c>
      <c r="AK11" s="21">
        <f>+('[1]N2O Y NH3 (C4)'!D247*'[1]FE COPERT 4'!AC3+'[1]N2O Y NH3 (C4)'!E247)*'[1]N2O Y NH3 (C4)'!C247</f>
        <v>29.323037080455446</v>
      </c>
      <c r="AL11" s="22">
        <f xml:space="preserve"> ($C$204 + $E$204 * $AL$1 + $G$204 * $AL$1^2)/(1 + $D$204 * $AL$1 + $F$204 * $AL$1^2)</f>
        <v>1.1420358152686145</v>
      </c>
      <c r="AM11" s="22">
        <f xml:space="preserve"> ($C$206 + $E$206* $AL$1 + $G$206* $AL$1^2)/(1 + $D$206* $AL$1 + $F$206* $AL$1^2)</f>
        <v>2.5523465703971116E-2</v>
      </c>
      <c r="AN11" s="22">
        <f xml:space="preserve"> ($C$208 + $E$208 * $AL$1 + $G$208 * $AL$1^2)/(1 + $D$208 * $AL$1 + $F$208 * $AL$1^2)</f>
        <v>5.1977401129943486E-2</v>
      </c>
      <c r="AO11" s="22">
        <f xml:space="preserve"> 0.00119</f>
        <v>1.1900000000000001E-3</v>
      </c>
      <c r="AP11" s="30">
        <f>($D$163+$F$163*$AL$1+$H$163*$AL$1^2)/(1+$E$163*$AL$1+$G$163*$AL$1^2)</f>
        <v>53.020344287949925</v>
      </c>
      <c r="AQ11" s="32">
        <f>2*'[1]DATOS SO2 Y CO2'!$B$30*'[1]FE COPERT 4'!AQ11</f>
        <v>3.1812206572769956E-3</v>
      </c>
      <c r="AR11" s="19">
        <f t="shared" si="2"/>
        <v>168.73931164792353</v>
      </c>
      <c r="AS11" s="22">
        <v>4</v>
      </c>
      <c r="AT11" s="22">
        <f>+('[1]N2O Y NH3 (C4)'!D70*'[1]FE COPERT 4'!AM3+'[1]N2O Y NH3 (C4)'!E70)*'[1]N2O Y NH3 (C4)'!C70</f>
        <v>1.1701116154883584</v>
      </c>
      <c r="AU11" s="22">
        <f>+('[1]N2O Y NH3 (C4)'!D262*'[1]FE COPERT 4'!AM3+'[1]N2O Y NH3 (C4)'!E262)*'[1]N2O Y NH3 (C4)'!C262</f>
        <v>64.535459354794213</v>
      </c>
      <c r="AV11" s="4" t="s">
        <v>83</v>
      </c>
      <c r="AW11" s="4" t="s">
        <v>60</v>
      </c>
      <c r="AX11" s="4" t="s">
        <v>61</v>
      </c>
      <c r="AZ11" s="24">
        <f>+'[1]DATOS SO2 Y CO2'!$D$83</f>
        <v>0.15</v>
      </c>
      <c r="BA11" s="24">
        <f>+'[1]DATOS SO2 Y CO2'!$E$83</f>
        <v>3</v>
      </c>
    </row>
    <row r="12" spans="1:53" ht="56.25">
      <c r="A12" s="1" t="s">
        <v>0</v>
      </c>
      <c r="B12" s="1" t="s">
        <v>46</v>
      </c>
      <c r="C12" s="1" t="s">
        <v>20</v>
      </c>
      <c r="D12" s="1" t="s">
        <v>3</v>
      </c>
      <c r="E12" s="18" t="s">
        <v>84</v>
      </c>
      <c r="F12" s="18" t="s">
        <v>85</v>
      </c>
      <c r="G12" s="18" t="s">
        <v>86</v>
      </c>
      <c r="H12" s="18" t="s">
        <v>87</v>
      </c>
      <c r="I12" s="18" t="s">
        <v>88</v>
      </c>
      <c r="J12" s="18" t="s">
        <v>89</v>
      </c>
      <c r="K12" s="18" t="s">
        <v>90</v>
      </c>
      <c r="L12" s="18" t="s">
        <v>54</v>
      </c>
      <c r="M12" s="18" t="s">
        <v>91</v>
      </c>
      <c r="N12" s="18" t="s">
        <v>92</v>
      </c>
      <c r="O12" s="18" t="s">
        <v>93</v>
      </c>
      <c r="P12" s="18" t="s">
        <v>94</v>
      </c>
      <c r="Q12" s="18" t="s">
        <v>58</v>
      </c>
      <c r="R12" s="19">
        <f xml:space="preserve"> 5.41301* $R$1^-0.574</f>
        <v>0.96972281136424576</v>
      </c>
      <c r="S12" s="19">
        <f xml:space="preserve"> 4.61 * $R$1^-0.937</f>
        <v>0.27837858273521426</v>
      </c>
      <c r="T12" s="19">
        <f xml:space="preserve"> 0.918- 0.014* $R$1 + 0.000101* $R$1^2</f>
        <v>0.6784</v>
      </c>
      <c r="U12" s="19">
        <f xml:space="preserve"> 0.45- 0.0086* $R$1 + 0.000058* $R$1^2</f>
        <v>0.30120000000000002</v>
      </c>
      <c r="V12" s="19">
        <f>118.489 - 2.084*$R$1 + 0.014*$R$1^2</f>
        <v>82.408999999999992</v>
      </c>
      <c r="W12" s="33">
        <f>2*'[1]DATOS SO2 Y CO2'!$B$30*'[1]FE COPERT 4'!W12</f>
        <v>4.9445399999999999E-3</v>
      </c>
      <c r="X12" s="19">
        <f>(44.011*(V12/(12.011+1.008*2)))-(R12/28.011)-(S12/13.85)-((U12*AZ12)/12.011)-((U12*AZ12*BA12)/13.85)</f>
        <v>258.48891763858632</v>
      </c>
      <c r="Y12" s="19">
        <v>28</v>
      </c>
      <c r="Z12" s="34">
        <v>0</v>
      </c>
      <c r="AA12" s="34">
        <v>1</v>
      </c>
      <c r="AB12" s="21">
        <f xml:space="preserve"> 5.41301* $AB$1^-0.574</f>
        <v>0.51615484903141629</v>
      </c>
      <c r="AC12" s="21">
        <f xml:space="preserve"> 4.61 * $AB$1^-0.937</f>
        <v>9.9442767850100755E-2</v>
      </c>
      <c r="AD12" s="21">
        <f xml:space="preserve"> 0.918- 0.014* $AB$1 + 0.000101* $AB$1^2</f>
        <v>0.4416000000000001</v>
      </c>
      <c r="AE12" s="21">
        <f xml:space="preserve"> 0.45- 0.0086* $AB$1 + 0.000058* $AB$1^2</f>
        <v>0.14280000000000001</v>
      </c>
      <c r="AF12" s="21">
        <f>118.489 - 2.084*$AB$1 + 0.014*$AB$1^2</f>
        <v>43.848999999999997</v>
      </c>
      <c r="AG12" s="21">
        <f>2*'[1]DATOS SO2 Y CO2'!$B$30*'[1]FE COPERT 4'!AG12</f>
        <v>2.63094E-3</v>
      </c>
      <c r="AH12" s="21">
        <f>(44.011*(AF12/(12.011+1.008*2)))-(AB12/28.011)-(AC12/13.85)-((AE12*AZ12)/12.011)-((AE12*AZ12*BA12)/13.85)</f>
        <v>137.54414689742686</v>
      </c>
      <c r="AI12" s="21">
        <v>12</v>
      </c>
      <c r="AJ12" s="21">
        <v>0</v>
      </c>
      <c r="AK12" s="21">
        <v>1</v>
      </c>
      <c r="AL12" s="22">
        <f xml:space="preserve"> 5.41301* $AL$1^-0.574</f>
        <v>0.38498058615406067</v>
      </c>
      <c r="AM12" s="22">
        <f xml:space="preserve"> 4.61 * $AL$1^-0.937</f>
        <v>6.1617053312790937E-2</v>
      </c>
      <c r="AN12" s="22">
        <f xml:space="preserve"> 0.918- 0.014* $AL$1 + 0.000101* $AL$1^2</f>
        <v>0.52799999999999991</v>
      </c>
      <c r="AO12" s="22">
        <f xml:space="preserve"> 0.45- 0.0086* $AL$1 + 0.000058* $AL$1^2</f>
        <v>0.16999999999999998</v>
      </c>
      <c r="AP12" s="22">
        <f>118.489 - 2.084*$AL$1 + 0.014*$AL$1^2</f>
        <v>50.088999999999999</v>
      </c>
      <c r="AQ12" s="32">
        <f>2*'[1]DATOS SO2 Y CO2'!$B$30*'[1]FE COPERT 4'!AQ12</f>
        <v>3.00534E-3</v>
      </c>
      <c r="AR12" s="19">
        <f>(44.011*(AP12/(12.011+1.008*2)))-(AL12/28.011)-(AM12/13.85)-((AO12*AZ12)/12.011)-((AO12*AZ12*BA12)/13.85)</f>
        <v>157.12813207784984</v>
      </c>
      <c r="AS12" s="22">
        <v>8</v>
      </c>
      <c r="AT12" s="22">
        <v>0</v>
      </c>
      <c r="AU12" s="22">
        <v>1</v>
      </c>
      <c r="AV12" s="4" t="s">
        <v>95</v>
      </c>
      <c r="AW12" s="4" t="s">
        <v>60</v>
      </c>
      <c r="AX12" s="4" t="s">
        <v>96</v>
      </c>
      <c r="AZ12" s="24">
        <f>+'[1]DATOS SO2 Y CO2'!$D$84</f>
        <v>0.55000000000000004</v>
      </c>
      <c r="BA12" s="24">
        <f>+'[1]DATOS SO2 Y CO2'!$E$84</f>
        <v>0.7</v>
      </c>
    </row>
    <row r="13" spans="1:53" ht="56.25">
      <c r="A13" s="1" t="s">
        <v>0</v>
      </c>
      <c r="B13" s="1" t="s">
        <v>46</v>
      </c>
      <c r="C13" s="1" t="s">
        <v>20</v>
      </c>
      <c r="D13" s="1" t="s">
        <v>1</v>
      </c>
      <c r="E13" s="18" t="s">
        <v>97</v>
      </c>
      <c r="F13" s="18" t="s">
        <v>98</v>
      </c>
      <c r="G13" s="18" t="s">
        <v>99</v>
      </c>
      <c r="H13" s="18" t="s">
        <v>100</v>
      </c>
      <c r="I13" s="18" t="s">
        <v>99</v>
      </c>
      <c r="J13" s="18" t="s">
        <v>99</v>
      </c>
      <c r="K13" s="18" t="s">
        <v>99</v>
      </c>
      <c r="L13" s="18" t="s">
        <v>54</v>
      </c>
      <c r="M13" s="18" t="s">
        <v>91</v>
      </c>
      <c r="N13" s="18" t="s">
        <v>101</v>
      </c>
      <c r="O13" s="18" t="s">
        <v>102</v>
      </c>
      <c r="P13" s="18" t="s">
        <v>94</v>
      </c>
      <c r="Q13" s="18" t="s">
        <v>58</v>
      </c>
      <c r="R13" s="19">
        <f xml:space="preserve"> ($C$212 + $E$212 * $R$1 + $G$212 * $R$1^2)/(1 + $D$212 * $R$1 + $F$212 * $R$1^2) + $H$212/$R$1</f>
        <v>0.66359999999999997</v>
      </c>
      <c r="S13" s="19">
        <f xml:space="preserve"> ($C$215 + $E$215* $R$1 + $G$215* $R$1^2)/(1 + $D$215* $R$1 + $F$215* $R$1^2) + $H$215/$R$1</f>
        <v>8.3885209713024281E-2</v>
      </c>
      <c r="T13" s="19">
        <f xml:space="preserve"> ($C$218 + $E$218 * $R$1 + $G$218 * $R$1^2)/(1 + $D$218 * $R$1 + $F$218 * $R$1^2) + $H$218/$R$1</f>
        <v>0.86912788769757932</v>
      </c>
      <c r="U13" s="19">
        <f xml:space="preserve"> ($C$221 + $E$221 * $R$1 + $G$221 * $R$1^2)/(1 + $D$221 * $R$1 + $F$221 * $R$1^2) + $H$221/$R$1</f>
        <v>7.6440000000000008E-2</v>
      </c>
      <c r="V13" s="19">
        <f xml:space="preserve"> ($D$166 + $F$166 * $R$1 + $H$166 * $R$1^2)/(1 + $E$166 * $R$1 + $G$166 * $R$1^2) + 0/$R$1</f>
        <v>65.351478010093729</v>
      </c>
      <c r="W13" s="33">
        <f>2*'[1]DATOS SO2 Y CO2'!$B$30*'[1]FE COPERT 4'!W13</f>
        <v>3.9210886806056236E-3</v>
      </c>
      <c r="X13" s="19">
        <f>(44.011*(V13/(12.011+1.008*2)))-(R13/28.011)-(S13/13.85)-((U13*AZ13)/12.011)-((U13*AZ13*BA13)/13.85)</f>
        <v>205.01051302974548</v>
      </c>
      <c r="Y13" s="19">
        <v>11</v>
      </c>
      <c r="Z13" s="34">
        <v>2</v>
      </c>
      <c r="AA13" s="34">
        <v>1</v>
      </c>
      <c r="AB13" s="21">
        <f xml:space="preserve"> ($C$212 + $E$212 * $AB$1 + $G$212 * $AB$1^2)/(1 + $D$212 * $AB$1 + $F$212 * $AB$1^2) + $H$212/$AB$1</f>
        <v>0.26039999999999991</v>
      </c>
      <c r="AC13" s="21">
        <f xml:space="preserve"> ($C$215 + $E$215* $AB$1 + $G$215* $AB$1^2)/(1 + $D$215* $AB$1 + $F$215* $AB$1^2) + $H$215/$AB$1</f>
        <v>3.5689929529438509E-2</v>
      </c>
      <c r="AD13" s="21">
        <f xml:space="preserve"> ($C$218 + $E$218 * $AB$1 + $G$218 * $AB$1^2)/(1 + $D$218 * $AB$1 + $F$218 * $AB$1^2) + $H$218/$AB$1</f>
        <v>0.5554044867437119</v>
      </c>
      <c r="AE13" s="21">
        <f xml:space="preserve"> ($C$221 + $E$221 * $AB$1 + $G$221 * $AB$1^2)/(1 + $D$221 * $AB$1 + $F$221 * $AB$1^2) + $H$221/$AB$1</f>
        <v>5.5559999999999998E-2</v>
      </c>
      <c r="AF13" s="21">
        <f xml:space="preserve"> ($D$166 + $F$166 * $AB$1 + $H$166 * $AB$1^2)/(1 + $E$166 * $AB$1 + $G$166 * $AB$1^2) + 0/$AB$1</f>
        <v>43.064052555943341</v>
      </c>
      <c r="AG13" s="21">
        <f>2*'[1]DATOS SO2 Y CO2'!$B$30*'[1]FE COPERT 4'!AG13</f>
        <v>2.5838431533566006E-3</v>
      </c>
      <c r="AH13" s="21">
        <f>(44.011*(AF13/(12.011+1.008*2)))-(AB13/28.011)-(AC13/13.85)-((AE13*AZ13)/12.011)-((AE13*AZ13*BA13)/13.85)</f>
        <v>135.1011831214368</v>
      </c>
      <c r="AI13" s="21">
        <v>9</v>
      </c>
      <c r="AJ13" s="21">
        <v>4</v>
      </c>
      <c r="AK13" s="21">
        <v>1</v>
      </c>
      <c r="AL13" s="22">
        <f xml:space="preserve"> ($C$212 + $E$212 * $AL$1 + $G$212 * $AL$1^2)/(1 + $D$212 * $AL$1 + $F$212 * $AL$1^2) + $H$212/$AL$1</f>
        <v>0.20599999999999996</v>
      </c>
      <c r="AM13" s="22">
        <f xml:space="preserve"> ($C$215 + $E$215* $AL$1 + $G$215* $AL$1^2)/(1 + $D$215* $AL$1 + $F$215* $AL$1^2) + $H$215/$AL$1</f>
        <v>2.5570776255707754E-2</v>
      </c>
      <c r="AN13" s="22">
        <f xml:space="preserve"> ($C$218 + $E$218 * $AL$1 + $G$218 * $AL$1^2)/(1 + $D$218 * $AL$1 + $F$218 * $AL$1^2) + $H$218/$AL$1</f>
        <v>0.66554121151936452</v>
      </c>
      <c r="AO13" s="22">
        <f xml:space="preserve"> ($C$221 + $E$221 * $AL$1 + $G$221 * $AL$1^2)/(1 + $D$221 * $AL$1 + $F$221 * $AL$1^2) + $H$221/$AL$1</f>
        <v>0.107</v>
      </c>
      <c r="AP13" s="22">
        <f xml:space="preserve"> ($D$166 + $F$166 * $AL$1 + $H$166 * $AL$1^2)/(1 + $E$166 * $AL$1 + $G$166 * $AL$1^2) + 0/$AL$1</f>
        <v>48.442982456140349</v>
      </c>
      <c r="AQ13" s="32">
        <f>2*'[1]DATOS SO2 Y CO2'!$B$30*'[1]FE COPERT 4'!AQ13</f>
        <v>2.9065789473684211E-3</v>
      </c>
      <c r="AR13" s="19">
        <f>(44.011*(AP13/(12.011+1.008*2)))-(AL13/28.011)-(AM13/13.85)-((AO13*AZ13)/12.011)-((AO13*AZ13*BA13)/13.85)</f>
        <v>151.97670425873153</v>
      </c>
      <c r="AS13" s="22">
        <v>3</v>
      </c>
      <c r="AT13" s="22">
        <v>4</v>
      </c>
      <c r="AU13" s="22">
        <v>1</v>
      </c>
      <c r="AV13" s="4" t="s">
        <v>103</v>
      </c>
      <c r="AW13" s="4" t="s">
        <v>60</v>
      </c>
      <c r="AX13" s="4" t="s">
        <v>96</v>
      </c>
      <c r="AZ13" s="24">
        <f>+'[1]DATOS SO2 Y CO2'!$D$85</f>
        <v>0.7</v>
      </c>
      <c r="BA13" s="24">
        <f>+'[1]DATOS SO2 Y CO2'!$E$85</f>
        <v>0.4</v>
      </c>
    </row>
    <row r="14" spans="1:53" ht="56.25">
      <c r="A14" s="1" t="s">
        <v>0</v>
      </c>
      <c r="B14" s="1" t="s">
        <v>46</v>
      </c>
      <c r="C14" s="1" t="s">
        <v>20</v>
      </c>
      <c r="D14" s="1" t="s">
        <v>2</v>
      </c>
      <c r="E14" s="18" t="s">
        <v>104</v>
      </c>
      <c r="F14" s="18" t="s">
        <v>105</v>
      </c>
      <c r="G14" s="18" t="s">
        <v>99</v>
      </c>
      <c r="H14" s="18" t="s">
        <v>100</v>
      </c>
      <c r="I14" s="18" t="s">
        <v>99</v>
      </c>
      <c r="J14" s="18" t="s">
        <v>99</v>
      </c>
      <c r="K14" s="18" t="s">
        <v>99</v>
      </c>
      <c r="L14" s="18" t="s">
        <v>54</v>
      </c>
      <c r="M14" s="18" t="s">
        <v>91</v>
      </c>
      <c r="N14" s="18" t="s">
        <v>106</v>
      </c>
      <c r="O14" s="18" t="s">
        <v>107</v>
      </c>
      <c r="P14" s="18" t="s">
        <v>94</v>
      </c>
      <c r="Q14" s="18" t="s">
        <v>58</v>
      </c>
      <c r="R14" s="19">
        <f xml:space="preserve"> ($C$213 + $E$213 * $R$1 + $G$213 * $R$1^2)/(1 + $D$213 * $R$1 + $F$213 * $R$1^2) + $H$213/$R$1</f>
        <v>0.17060000000000003</v>
      </c>
      <c r="S14" s="19">
        <f xml:space="preserve"> ($C$216 + $E$216* $R$1 + $G$216* $R$1^2)/(1 + $D$216* $R$1 + $F$216* $R$1^2) + $H$216/$R$1</f>
        <v>3.052153716216216E-2</v>
      </c>
      <c r="T14" s="19">
        <f xml:space="preserve"> ($C$219 + $E$219 * $R$1 + $G$219 * $R$1^2)/(1 + $D$219 * $R$1 + $F$219 * $R$1^2) + $H$219/$R$1</f>
        <v>0.90537830446672729</v>
      </c>
      <c r="U14" s="19">
        <f xml:space="preserve"> ($C$222 + $E$222 * $R$1 + $G$222 * $R$1^2)/(1 + $D$222 * $R$1 + $F$222 * $R$1^2) + $H$222/$R$1</f>
        <v>3.7148E-2</v>
      </c>
      <c r="V14" s="19">
        <f xml:space="preserve"> ($D$168 + $F$168 * $R$1 + $H$168 * $R$1^2)/(1 + $E$168 * $R$1 + $G$168 * $R$1^2) + 0/$R$1</f>
        <v>63.652527305054605</v>
      </c>
      <c r="W14" s="33">
        <f>2*'[1]DATOS SO2 Y CO2'!$B$30*'[1]FE COPERT 4'!W14</f>
        <v>3.8191516383032763E-3</v>
      </c>
      <c r="X14" s="19">
        <f>(44.011*(V14/(12.011+1.008*2)))-(R14/28.011)-(S14/13.85)-((U14*AZ14)/12.011)-((U14*AZ14*BA14)/13.85)</f>
        <v>199.70438184259029</v>
      </c>
      <c r="Y14" s="19">
        <v>3</v>
      </c>
      <c r="Z14" s="34">
        <v>9</v>
      </c>
      <c r="AA14" s="34">
        <v>1</v>
      </c>
      <c r="AB14" s="21">
        <f xml:space="preserve"> ($C$213 + $E$213 * $AB$1 + $G$213 * $AB$1^2)/(1 + $D$213 * $AB$1 + $F$213 * $AB$1^2) + $H$213/$AB$1</f>
        <v>5.7133333333333355E-2</v>
      </c>
      <c r="AC14" s="21">
        <f xml:space="preserve"> ($C$216 + $E$216* $AB$1 + $G$216* $AB$1^2)/(1 + $D$216* $AB$1 + $F$216* $AB$1^2) + $H$216/$AB$1</f>
        <v>1.2886740970263147E-2</v>
      </c>
      <c r="AD14" s="21">
        <f xml:space="preserve"> ($C$219 + $E$219 * $AB$1 + $G$219 * $AB$1^2)/(1 + $D$219 * $AB$1 + $F$219 * $AB$1^2) + $H$219/$AB$1</f>
        <v>0.66828763579927564</v>
      </c>
      <c r="AE14" s="21">
        <f xml:space="preserve"> ($C$222 + $E$222 * $AB$1 + $G$222 * $AB$1^2)/(1 + $D$222 * $AB$1 + $F$222 * $AB$1^2) + $H$222/$AB$1</f>
        <v>2.7931999999999998E-2</v>
      </c>
      <c r="AF14" s="21">
        <f xml:space="preserve"> ($D$168 + $F$168 * $AB$1 + $H$168 * $AB$1^2)/(1 + $E$168 * $AB$1 + $G$168 * $AB$1^2) + 0/$AB$1</f>
        <v>44.164399255334388</v>
      </c>
      <c r="AG14" s="21">
        <f>2*'[1]DATOS SO2 Y CO2'!$B$30*'[1]FE COPERT 4'!AG14</f>
        <v>2.6498639553200632E-3</v>
      </c>
      <c r="AH14" s="21">
        <f>(44.011*(AF14/(12.011+1.008*2)))-(AB14/28.011)-(AC14/13.85)-((AE14*AZ14)/12.011)-((AE14*AZ14*BA14)/13.85)</f>
        <v>138.56465242720759</v>
      </c>
      <c r="AI14" s="21">
        <v>0</v>
      </c>
      <c r="AJ14" s="21">
        <v>4</v>
      </c>
      <c r="AK14" s="21">
        <v>1</v>
      </c>
      <c r="AL14" s="22">
        <f xml:space="preserve"> ($C$213 + $E$213 * $AL$1 + $G$213 * $AL$1^2)/(1 + $D$213 * $AL$1 + $F$213 * $AL$1^2) + $H$213/$AL$1</f>
        <v>1.3000000000000031E-2</v>
      </c>
      <c r="AM14" s="22">
        <f xml:space="preserve"> ($C$216 + $E$216* $AL$1 + $G$216* $AL$1^2)/(1 + $D$216* $AL$1 + $F$216* $AL$1^2) + $H$216/$AL$1</f>
        <v>8.6989409984871424E-3</v>
      </c>
      <c r="AN14" s="22">
        <f xml:space="preserve"> ($C$219 + $E$219 * $AL$1 + $G$219 * $AL$1^2)/(1 + $D$219 * $AL$1 + $F$219 * $AL$1^2) + $H$219/$AL$1</f>
        <v>0.75076923076923074</v>
      </c>
      <c r="AO14" s="22">
        <f xml:space="preserve"> ($C$222 + $E$222 * $AL$1 + $G$222 * $AL$1^2)/(1 + $D$222 * $AL$1 + $F$222 * $AL$1^2) + $H$222/$AL$1</f>
        <v>4.4699999999999997E-2</v>
      </c>
      <c r="AP14" s="22">
        <f xml:space="preserve"> ($D$168 + $F$168 * $AL$1 + $H$168 * $AL$1^2)/(1 + $E$168 * $AL$1 + $G$168 * $AL$1^2) + 0/$AL$1</f>
        <v>45.487364620938621</v>
      </c>
      <c r="AQ14" s="32">
        <f>2*'[1]DATOS SO2 Y CO2'!$B$30*'[1]FE COPERT 4'!AQ14</f>
        <v>2.7292418772563174E-3</v>
      </c>
      <c r="AR14" s="19">
        <f>(44.011*(AP14/(12.011+1.008*2)))-(AL14/28.011)-(AM14/13.85)-((AO14*AZ14)/12.011)-((AO14*AZ14*BA14)/13.85)</f>
        <v>142.71611462486757</v>
      </c>
      <c r="AS14" s="22">
        <v>0</v>
      </c>
      <c r="AT14" s="22">
        <v>4</v>
      </c>
      <c r="AU14" s="22">
        <v>1</v>
      </c>
      <c r="AV14" s="4" t="s">
        <v>103</v>
      </c>
      <c r="AW14" s="4" t="s">
        <v>60</v>
      </c>
      <c r="AX14" s="4" t="s">
        <v>96</v>
      </c>
      <c r="AZ14" s="24">
        <f>+'[1]DATOS SO2 Y CO2'!$D$86</f>
        <v>0.85</v>
      </c>
      <c r="BA14" s="24">
        <f>+'[1]DATOS SO2 Y CO2'!$E$86</f>
        <v>0.15</v>
      </c>
    </row>
    <row r="15" spans="1:53" ht="56.25">
      <c r="A15" s="1" t="s">
        <v>0</v>
      </c>
      <c r="B15" s="1" t="s">
        <v>46</v>
      </c>
      <c r="C15" s="1" t="s">
        <v>20</v>
      </c>
      <c r="D15" s="1" t="s">
        <v>4</v>
      </c>
      <c r="E15" s="18" t="s">
        <v>108</v>
      </c>
      <c r="F15" s="18" t="s">
        <v>109</v>
      </c>
      <c r="G15" s="18" t="s">
        <v>110</v>
      </c>
      <c r="H15" s="18" t="s">
        <v>100</v>
      </c>
      <c r="I15" s="18" t="s">
        <v>99</v>
      </c>
      <c r="J15" s="18" t="s">
        <v>99</v>
      </c>
      <c r="K15" s="18" t="s">
        <v>99</v>
      </c>
      <c r="L15" s="18" t="s">
        <v>54</v>
      </c>
      <c r="M15" s="18" t="s">
        <v>91</v>
      </c>
      <c r="N15" s="18" t="s">
        <v>111</v>
      </c>
      <c r="O15" s="18" t="s">
        <v>107</v>
      </c>
      <c r="P15" s="18" t="s">
        <v>94</v>
      </c>
      <c r="Q15" s="18" t="s">
        <v>58</v>
      </c>
      <c r="R15" s="35">
        <f xml:space="preserve"> 0.0175+86.42*(1+EXP(($R$1+117.67)/21.99))^-1</f>
        <v>0.1822605310594001</v>
      </c>
      <c r="S15" s="19">
        <f xml:space="preserve"> ($C$217 + $E$217* $R$1 + $G$217* $R$1^2)/(1 + $D$217* $R$1 + $F$217* $R$1^2) + $H$217/$R$1</f>
        <v>1.2125114995400185E-2</v>
      </c>
      <c r="T15" s="19">
        <f xml:space="preserve"> ($C$220 + $E$220 * $R$1 + $G$220 * $R$1^2)/(1 + $D$220 * $R$1 + $F$220 * $R$1^2) + $H$220/$R$1</f>
        <v>0.76520000000000021</v>
      </c>
      <c r="U15" s="19">
        <f xml:space="preserve"> ($C$223 + $E$223 * $R$1 + $G$223 * $R$1^2)/(1 + $D$223 * $R$1 + $F$223 * $R$1^2) + $H$223/$R$1</f>
        <v>3.5611999999999998E-2</v>
      </c>
      <c r="V15" s="19">
        <f xml:space="preserve"> ($D$169 + $F$169 * $R$1 + $H$169 * $R$1^2)/(1 + $E$169 * $R$1 + $G$169 * $R$1^2) + 0/$R$1</f>
        <v>63.652527305054605</v>
      </c>
      <c r="W15" s="33">
        <f>2*'[1]DATOS SO2 Y CO2'!$B$30*'[1]FE COPERT 4'!W15</f>
        <v>3.8191516383032763E-3</v>
      </c>
      <c r="X15" s="19">
        <f>(44.011*(V15/(12.011+1.008*2)))-(R15/28.011)-(S15/13.85)-((U15*AZ15)/12.011)-((U15*AZ15*BA15)/13.85)</f>
        <v>199.70539438777007</v>
      </c>
      <c r="Y15" s="19">
        <v>0</v>
      </c>
      <c r="Z15" s="34">
        <v>9</v>
      </c>
      <c r="AA15" s="34">
        <v>1</v>
      </c>
      <c r="AB15" s="21">
        <f xml:space="preserve"> 0.0175+86.42*(1+EXP(($AB$1+117.67)/21.99))^-1</f>
        <v>4.4264677884786961E-2</v>
      </c>
      <c r="AC15" s="21">
        <f xml:space="preserve"> ($C$217 + $E$217* $AB$1 + $G$217* $AB$1^2)/(1 + $D$217* $AB$1 + $F$217* $AB$1^2) + $H$217/$AB$1</f>
        <v>4.3847445430558879E-3</v>
      </c>
      <c r="AD15" s="21">
        <f xml:space="preserve"> ($C$220 + $E$220 * $AB$1 + $G$220 * $AB$1^2)/(1 + $D$220 * $AB$1 + $F$220 * $AB$1^2) + $H$220/$AB$1</f>
        <v>0.43080000000000007</v>
      </c>
      <c r="AE15" s="21">
        <f xml:space="preserve"> ($C$223 + $E$223 * $AB$1 + $G$223 * $AB$1^2)/(1 + $D$223 * $AB$1 + $F$223 * $AB$1^2) + $H$223/$AB$1</f>
        <v>2.5187999999999999E-2</v>
      </c>
      <c r="AF15" s="21">
        <f xml:space="preserve"> ($D$169 + $F$169 * $AB$1 + $H$169 * $AB$1^2)/(1 + $E$169 * $AB$1 + $G$169 * $AB$1^2) + 0/$AB$1</f>
        <v>44.164399255334388</v>
      </c>
      <c r="AG15" s="21">
        <f>2*'[1]DATOS SO2 Y CO2'!$B$30*'[1]FE COPERT 4'!AG15</f>
        <v>2.6498639553200632E-3</v>
      </c>
      <c r="AH15" s="21">
        <f>(44.011*(AF15/(12.011+1.008*2)))-(AB15/28.011)-(AC15/13.85)-((AE15*AZ15)/12.011)-((AE15*AZ15*BA15)/13.85)</f>
        <v>138.56592940012087</v>
      </c>
      <c r="AI15" s="21">
        <v>0</v>
      </c>
      <c r="AJ15" s="21">
        <v>4</v>
      </c>
      <c r="AK15" s="21">
        <v>1</v>
      </c>
      <c r="AL15" s="22">
        <f xml:space="preserve"> 0.0175+86.42*(1+EXP(($AL$1+117.67)/21.99))^-1</f>
        <v>2.1841994900426175E-2</v>
      </c>
      <c r="AM15" s="22">
        <f xml:space="preserve"> ($C$217 + $E$217* $AL$1 + $G$217* $AL$1^2)/(1 + $D$217* $AL$1 + $F$217* $AL$1^2) + $H$217/$AL$1</f>
        <v>4.2164369576314451E-3</v>
      </c>
      <c r="AN15" s="22">
        <f xml:space="preserve"> ($C$220 + $E$220 * $AL$1 + $G$220 * $AL$1^2)/(1 + $D$220 * $AL$1 + $F$220 * $AL$1^2) + $H$220/$AL$1</f>
        <v>0.57000000000000006</v>
      </c>
      <c r="AO15" s="22">
        <f xml:space="preserve"> ($C$223 + $E$223 * $AL$1 + $G$223 * $AL$1^2)/(1 + $D$223 * $AL$1 + $F$223 * $AL$1^2) + $H$223/$AL$1</f>
        <v>2.5900000000000006E-2</v>
      </c>
      <c r="AP15" s="22">
        <f xml:space="preserve"> ($D$169 + $F$169 * $AL$1 + $H$169 * $AL$1^2)/(1 + $E$169 * $AL$1 + $G$169 * $AL$1^2) + 0/$AL$1</f>
        <v>45.487364620938621</v>
      </c>
      <c r="AQ15" s="32">
        <f>2*'[1]DATOS SO2 Y CO2'!$B$30*'[1]FE COPERT 4'!AQ15</f>
        <v>2.7292418772563174E-3</v>
      </c>
      <c r="AR15" s="19">
        <f>(44.011*(AP15/(12.011+1.008*2)))-(AL15/28.011)-(AM15/13.85)-((AO15*AZ15)/12.011)-((AO15*AZ15*BA15)/13.85)</f>
        <v>142.71760992691506</v>
      </c>
      <c r="AS15" s="22">
        <v>0</v>
      </c>
      <c r="AT15" s="22">
        <v>4</v>
      </c>
      <c r="AU15" s="22">
        <v>1</v>
      </c>
      <c r="AV15" s="4" t="s">
        <v>103</v>
      </c>
      <c r="AW15" s="4" t="s">
        <v>60</v>
      </c>
      <c r="AX15" s="4" t="s">
        <v>96</v>
      </c>
      <c r="AZ15" s="24">
        <f>+'[1]DATOS SO2 Y CO2'!$D$87</f>
        <v>0.87</v>
      </c>
      <c r="BA15" s="24">
        <f>+'[1]DATOS SO2 Y CO2'!$E$87</f>
        <v>0.13</v>
      </c>
    </row>
    <row r="16" spans="1:53" ht="56.25">
      <c r="A16" s="1" t="s">
        <v>5</v>
      </c>
      <c r="B16" s="1" t="s">
        <v>46</v>
      </c>
      <c r="C16" s="1" t="s">
        <v>19</v>
      </c>
      <c r="D16" s="1" t="s">
        <v>3</v>
      </c>
      <c r="E16" s="18" t="s">
        <v>112</v>
      </c>
      <c r="F16" s="18" t="s">
        <v>113</v>
      </c>
      <c r="G16" s="18" t="s">
        <v>114</v>
      </c>
      <c r="H16" s="18" t="s">
        <v>115</v>
      </c>
      <c r="I16" s="18" t="s">
        <v>116</v>
      </c>
      <c r="J16" s="18" t="s">
        <v>52</v>
      </c>
      <c r="K16" s="18" t="s">
        <v>117</v>
      </c>
      <c r="L16" s="18" t="s">
        <v>54</v>
      </c>
      <c r="M16" s="18" t="s">
        <v>55</v>
      </c>
      <c r="N16" s="18" t="s">
        <v>56</v>
      </c>
      <c r="O16" s="18" t="s">
        <v>57</v>
      </c>
      <c r="P16" s="18" t="s">
        <v>57</v>
      </c>
      <c r="Q16" s="18" t="s">
        <v>58</v>
      </c>
      <c r="R16" s="34">
        <f xml:space="preserve"> 57.789 + -1.5132 * $R$1 + 0.01104 * $R$1^2</f>
        <v>31.940999999999999</v>
      </c>
      <c r="S16" s="34">
        <f xml:space="preserve"> 5.4734 + -0.117 * $R$1 + 0.000677 * $R$1^2</f>
        <v>3.4041999999999994</v>
      </c>
      <c r="T16" s="34">
        <f xml:space="preserve"> 1.9547 + 0.0179 * $R$1</f>
        <v>2.3127</v>
      </c>
      <c r="U16" s="34"/>
      <c r="V16" s="34">
        <f>0.0167*$R$1^2 - 2.649*$R$1 + 161.51</f>
        <v>115.20999999999998</v>
      </c>
      <c r="W16" s="33">
        <f>2*'[1]DATOS SO2 Y CO2'!$B$30*'[1]FE COPERT 4'!W16</f>
        <v>6.9125999999999988E-3</v>
      </c>
      <c r="X16" s="19">
        <f>(44.011*(V16/(12.011+1.008*1.8)))-(R16/28.011)-(S16/13.85)-((U16*AZ16)/12.011)-((AZ16*U16*BA16)/13.85)</f>
        <v>365.36693512257563</v>
      </c>
      <c r="Y16" s="19">
        <v>131</v>
      </c>
      <c r="Z16" s="34">
        <f>+('[1]N2O Y NH3 (C4)'!D95*'[1]FE COPERT 4'!S1+'[1]N2O Y NH3 (C4)'!E95)*'[1]N2O Y NH3 (C4)'!C95</f>
        <v>10</v>
      </c>
      <c r="AA16" s="34">
        <f>+('[1]N2O Y NH3 (C4)'!D285*'[1]FE COPERT 4'!S1+'[1]N2O Y NH3 (C4)'!E285)*'[1]N2O Y NH3 (C4)'!C285</f>
        <v>2</v>
      </c>
      <c r="AB16" s="36">
        <f xml:space="preserve"> 57.789 + -1.5132 * $AB$1 + 0.01104 * $AB$1^2</f>
        <v>6.7409999999999997</v>
      </c>
      <c r="AC16" s="36">
        <f xml:space="preserve"> 5.4734 + -0.117 * $AB$1 + 0.000677 * $AB$1^2</f>
        <v>0.89059999999999917</v>
      </c>
      <c r="AD16" s="36">
        <f xml:space="preserve"> 1.9547 + 0.0179 * $AB$1</f>
        <v>3.0286999999999997</v>
      </c>
      <c r="AE16" s="36"/>
      <c r="AF16" s="36">
        <f>0.0167*$AB$1^2 - 2.649*$AB$1 + 161.51</f>
        <v>62.69</v>
      </c>
      <c r="AG16" s="21">
        <f>2*'[1]DATOS SO2 Y CO2'!$B$30*'[1]FE COPERT 4'!AG16</f>
        <v>3.7613999999999998E-3</v>
      </c>
      <c r="AH16" s="21">
        <f>(44.011*(AF16/(12.011+1.008*1.8)))-(AB16/28.011)-(AC16/13.85)-((AE16*AZ16)/12.011)-((AZ16*AE16*BA16)/13.85)</f>
        <v>199.2588578925525</v>
      </c>
      <c r="AI16" s="36">
        <v>86</v>
      </c>
      <c r="AJ16" s="36">
        <f>+('[1]N2O Y NH3 (C4)'!D112*'[1]FE COPERT 4'!AC1+'[1]N2O Y NH3 (C4)'!E112)*'[1]N2O Y NH3 (C4)'!C112</f>
        <v>6.5</v>
      </c>
      <c r="AK16" s="36">
        <f>+('[1]N2O Y NH3 (C4)'!D298*'[1]FE COPERT 4'!AC1+'[1]N2O Y NH3 (C4)'!E298)*'[1]N2O Y NH3 (C4)'!C298</f>
        <v>2</v>
      </c>
      <c r="AL16" s="37">
        <f xml:space="preserve"> 57.789 + -1.5132 * $AL$1 + 0.01104 * $AL$1^2</f>
        <v>16.868999999999971</v>
      </c>
      <c r="AM16" s="37">
        <f xml:space="preserve"> 5.4734 + -0.117 * $AL$1 + 0.000677 * $AL$1^2</f>
        <v>0.54339999999999833</v>
      </c>
      <c r="AN16" s="37">
        <f xml:space="preserve"> 1.9547 + 0.0179 * $AL$1</f>
        <v>3.7446999999999999</v>
      </c>
      <c r="AO16" s="37"/>
      <c r="AP16" s="37">
        <f>0.0167*$AL$1^2 - 2.649*$AL$1 + 161.51</f>
        <v>63.610000000000014</v>
      </c>
      <c r="AQ16" s="32">
        <f>2*'[1]DATOS SO2 Y CO2'!$B$30*'[1]FE COPERT 4'!AQ16</f>
        <v>3.8166000000000007E-3</v>
      </c>
      <c r="AR16" s="19">
        <f>(44.011*(AP16/(12.011+1.008*1.8)))-(AL16/28.011)-(AM16/13.85)-((AO16*AZ16)/12.011)-((AZ16*AO16*BA16)/13.85)</f>
        <v>201.85103044979974</v>
      </c>
      <c r="AS16" s="37">
        <v>41</v>
      </c>
      <c r="AT16" s="37">
        <f>+('[1]N2O Y NH3 (C4)'!D129*'[1]FE COPERT 4'!AM1+'[1]N2O Y NH3 (C4)'!E129)*'[1]N2O Y NH3 (C4)'!C129</f>
        <v>6.5</v>
      </c>
      <c r="AU16" s="37">
        <f>+('[1]N2O Y NH3 (C4)'!D313*'[1]FE COPERT 4'!AM1+'[1]N2O Y NH3 (C4)'!E313)*'[1]N2O Y NH3 (C4)'!C313</f>
        <v>2</v>
      </c>
      <c r="AV16" s="4" t="s">
        <v>118</v>
      </c>
      <c r="AW16" s="4" t="s">
        <v>60</v>
      </c>
      <c r="AX16" s="4" t="s">
        <v>119</v>
      </c>
      <c r="AZ16" s="24">
        <f>+'[1]DATOS SO2 Y CO2'!$D$81</f>
        <v>0.02</v>
      </c>
      <c r="BA16" s="24">
        <f>+'[1]DATOS SO2 Y CO2'!$E$81</f>
        <v>49</v>
      </c>
    </row>
    <row r="17" spans="1:53" ht="56.25">
      <c r="A17" s="1" t="s">
        <v>5</v>
      </c>
      <c r="B17" s="1" t="s">
        <v>46</v>
      </c>
      <c r="C17" s="1" t="s">
        <v>19</v>
      </c>
      <c r="D17" s="1" t="s">
        <v>6</v>
      </c>
      <c r="E17" s="18" t="s">
        <v>120</v>
      </c>
      <c r="F17" s="18" t="s">
        <v>121</v>
      </c>
      <c r="G17" s="18" t="s">
        <v>122</v>
      </c>
      <c r="H17" s="18" t="s">
        <v>123</v>
      </c>
      <c r="I17" s="18" t="s">
        <v>124</v>
      </c>
      <c r="J17" s="18" t="s">
        <v>52</v>
      </c>
      <c r="K17" s="18" t="s">
        <v>125</v>
      </c>
      <c r="L17" s="18" t="s">
        <v>54</v>
      </c>
      <c r="M17" s="18" t="s">
        <v>55</v>
      </c>
      <c r="N17" s="18" t="s">
        <v>75</v>
      </c>
      <c r="O17" s="18" t="s">
        <v>57</v>
      </c>
      <c r="P17" s="18" t="s">
        <v>57</v>
      </c>
      <c r="Q17" s="18" t="s">
        <v>58</v>
      </c>
      <c r="R17" s="34">
        <f xml:space="preserve"> 19.127 + -0.5215 * $R$1 + 0.0037 * $R$1^2</f>
        <v>10.177</v>
      </c>
      <c r="S17" s="34">
        <f xml:space="preserve"> 0.5462 + -0.01047 * $R$1 + 0.0000577 * $R$1^2</f>
        <v>0.35987999999999998</v>
      </c>
      <c r="T17" s="34">
        <f xml:space="preserve"> 0.666 + -0.009 * $R$1 + 0.0000755 * $R$1^2</f>
        <v>0.51619999999999999</v>
      </c>
      <c r="U17" s="34"/>
      <c r="V17" s="34">
        <f>0.0195*$R$1^2 - 3.09*$R$1 + 188.85</f>
        <v>134.85</v>
      </c>
      <c r="W17" s="33">
        <f>2*'[1]DATOS SO2 Y CO2'!$B$30*'[1]FE COPERT 4'!W17</f>
        <v>8.0909999999999992E-3</v>
      </c>
      <c r="X17" s="19">
        <f>(44.011*(V17/(12.011+1.008*1.8)))-(R17/28.011)-(S17/13.85)-((U17*AZ17)/12.011)-((AZ17*U17*BA17)/13.85)</f>
        <v>428.88459237496221</v>
      </c>
      <c r="Y17" s="34">
        <v>26</v>
      </c>
      <c r="Z17" s="34">
        <f>+('[1]N2O Y NH3 (C4)'!D96*'[1]FE COPERT 4'!S1+'[1]N2O Y NH3 (C4)'!E96)*'[1]N2O Y NH3 (C4)'!C96</f>
        <v>21.996933900000002</v>
      </c>
      <c r="AA17" s="34">
        <f>+('[1]N2O Y NH3 (C4)'!D286*'[1]FE COPERT 4'!S1+'[1]N2O Y NH3 (C4)'!E286)*'[1]N2O Y NH3 (C4)'!C286</f>
        <v>70</v>
      </c>
      <c r="AB17" s="36">
        <f xml:space="preserve"> 19.127 + -0.5215 * $AB$1 + 0.0037 * $AB$1^2</f>
        <v>1.157</v>
      </c>
      <c r="AC17" s="36">
        <f xml:space="preserve"> 0.5462 + -0.01047 * $AB$1 + 0.0000577 * $AB$1^2</f>
        <v>0.12572000000000003</v>
      </c>
      <c r="AD17" s="36">
        <f xml:space="preserve"> 0.666 + -0.009 * $AB$1 + 0.0000755 * $AB$1^2</f>
        <v>0.39780000000000015</v>
      </c>
      <c r="AE17" s="36"/>
      <c r="AF17" s="36">
        <f>0.0195*$AB$1^2 - 3.09*$AB$1 + 188.85</f>
        <v>73.65000000000002</v>
      </c>
      <c r="AG17" s="21">
        <f>2*'[1]DATOS SO2 Y CO2'!$B$30*'[1]FE COPERT 4'!AG17</f>
        <v>4.4190000000000011E-3</v>
      </c>
      <c r="AH17" s="21">
        <f>(44.011*(AF17/(12.011+1.008*1.8)))-(AB17/28.011)-(AC17/13.85)-((AE17*AZ17)/12.011)-((AZ17*AE17*BA17)/13.85)</f>
        <v>234.40288110053251</v>
      </c>
      <c r="AI17" s="36">
        <v>16</v>
      </c>
      <c r="AJ17" s="36">
        <f>+('[1]N2O Y NH3 (C4)'!D113*'[1]FE COPERT 4'!AC1+'[1]N2O Y NH3 (C4)'!E113)*'[1]N2O Y NH3 (C4)'!C113</f>
        <v>13.822718999999999</v>
      </c>
      <c r="AK17" s="36">
        <f>+('[1]N2O Y NH3 (C4)'!D299*'[1]FE COPERT 4'!AC1+'[1]N2O Y NH3 (C4)'!E299)*'[1]N2O Y NH3 (C4)'!C299</f>
        <v>130.86946688399999</v>
      </c>
      <c r="AL17" s="37">
        <f xml:space="preserve"> 19.127 + -0.5215 * $AL$1 + 0.0037 * $AL$1^2</f>
        <v>3.9770000000000039</v>
      </c>
      <c r="AM17" s="37">
        <f xml:space="preserve"> 0.5462 + -0.01047 * $AL$1 + 0.0000577 * $AL$1^2</f>
        <v>7.6200000000000045E-2</v>
      </c>
      <c r="AN17" s="37">
        <f xml:space="preserve"> 0.666 + -0.009 * $AL$1 + 0.0000755 * $AL$1^2</f>
        <v>0.52100000000000013</v>
      </c>
      <c r="AO17" s="37"/>
      <c r="AP17" s="37">
        <f>0.0195*$AL$1^2 - 3.09*$AL$1 + 188.85</f>
        <v>74.849999999999994</v>
      </c>
      <c r="AQ17" s="32">
        <f>2*'[1]DATOS SO2 Y CO2'!$B$30*'[1]FE COPERT 4'!AQ17</f>
        <v>4.4910000000000002E-3</v>
      </c>
      <c r="AR17" s="19">
        <f>(44.011*(AP17/(12.011+1.008*1.8)))-(AL17/28.011)-(AM17/13.85)-((AO17*AZ17)/12.011)-((AZ17*AO17*BA17)/13.85)</f>
        <v>238.1257942577401</v>
      </c>
      <c r="AS17" s="37">
        <v>14</v>
      </c>
      <c r="AT17" s="37">
        <f>+('[1]N2O Y NH3 (C4)'!D130*'[1]FE COPERT 4'!AM1+'[1]N2O Y NH3 (C4)'!E130)*'[1]N2O Y NH3 (C4)'!C130</f>
        <v>6.9492978000000001</v>
      </c>
      <c r="AU17" s="37">
        <f>+('[1]N2O Y NH3 (C4)'!D314*'[1]FE COPERT 4'!AM1+'[1]N2O Y NH3 (C4)'!E314)*'[1]N2O Y NH3 (C4)'!C314</f>
        <v>73.153835401999999</v>
      </c>
      <c r="AV17" s="4" t="s">
        <v>118</v>
      </c>
      <c r="AW17" s="4" t="s">
        <v>60</v>
      </c>
      <c r="AX17" s="4" t="s">
        <v>119</v>
      </c>
      <c r="AZ17" s="24">
        <f>+'[1]DATOS SO2 Y CO2'!$D$82</f>
        <v>0.25</v>
      </c>
      <c r="BA17" s="24">
        <f>+'[1]DATOS SO2 Y CO2'!$E$82</f>
        <v>2.5</v>
      </c>
    </row>
    <row r="18" spans="1:53" ht="56.25">
      <c r="A18" s="1" t="s">
        <v>5</v>
      </c>
      <c r="B18" s="1" t="s">
        <v>46</v>
      </c>
      <c r="C18" s="1" t="s">
        <v>19</v>
      </c>
      <c r="D18" s="1" t="s">
        <v>2</v>
      </c>
      <c r="E18" s="18" t="s">
        <v>126</v>
      </c>
      <c r="F18" s="18" t="s">
        <v>127</v>
      </c>
      <c r="G18" s="18" t="s">
        <v>128</v>
      </c>
      <c r="H18" s="18" t="s">
        <v>129</v>
      </c>
      <c r="I18" s="18" t="s">
        <v>130</v>
      </c>
      <c r="J18" s="18" t="s">
        <v>52</v>
      </c>
      <c r="K18" s="18" t="s">
        <v>125</v>
      </c>
      <c r="L18" s="18" t="s">
        <v>54</v>
      </c>
      <c r="M18" s="18" t="s">
        <v>55</v>
      </c>
      <c r="N18" s="18" t="s">
        <v>82</v>
      </c>
      <c r="O18" s="18" t="s">
        <v>57</v>
      </c>
      <c r="P18" s="18" t="s">
        <v>57</v>
      </c>
      <c r="Q18" s="18" t="s">
        <v>58</v>
      </c>
      <c r="R18" s="34">
        <f xml:space="preserve"> (19.127 + -0.5215 * $R$1 + 0.0037 * $R$1^2) * (1- 0.48)</f>
        <v>5.2920400000000001</v>
      </c>
      <c r="S18" s="34">
        <f xml:space="preserve"> (0.5462 + -0.01047 * $R$1 + 0.0000577 * $R$1^2) * (1-0.86)</f>
        <v>5.0383200000000003E-2</v>
      </c>
      <c r="T18" s="34">
        <f xml:space="preserve"> (0.666 + -0.009 * $R$1 + 0.0000755 * $R$1^2) * (1-0.79)</f>
        <v>0.10840199999999998</v>
      </c>
      <c r="U18" s="34"/>
      <c r="V18" s="34">
        <f>0.0195*$R$1^2 - 3.09*$R$1 + 188.85</f>
        <v>134.85</v>
      </c>
      <c r="W18" s="33">
        <f>2*'[1]DATOS SO2 Y CO2'!$B$30*'[1]FE COPERT 4'!W18</f>
        <v>8.0909999999999992E-3</v>
      </c>
      <c r="X18" s="19">
        <f>(44.011*(V18/(12.011+1.008*1.8)))-(R18/28.011)-(S18/13.85)-((U18*AZ18)/12.011)-((AZ18*U18*BA18)/13.85)</f>
        <v>429.08133305939111</v>
      </c>
      <c r="Y18" s="34">
        <v>3</v>
      </c>
      <c r="Z18" s="34">
        <f>+('[1]N2O Y NH3 (C4)'!D100*'[1]FE COPERT 4'!S1+'[1]N2O Y NH3 (C4)'!E100)*'[1]N2O Y NH3 (C4)'!C100</f>
        <v>4.73641588</v>
      </c>
      <c r="AA18" s="34">
        <f>+('[1]N2O Y NH3 (C4)'!D288*'[1]FE COPERT 4'!S1+'[1]N2O Y NH3 (C4)'!E288)*'[1]N2O Y NH3 (C4)'!C288</f>
        <v>1.6378497799999998</v>
      </c>
      <c r="AB18" s="36">
        <f xml:space="preserve"> (19.127 + -0.5215 * $AB$1 + 0.0037 * $AB$1^2) * (1- 0.48)</f>
        <v>0.60164000000000006</v>
      </c>
      <c r="AC18" s="36">
        <f xml:space="preserve"> (0.5462 + -0.01047 * $AB$1 + 0.0000577 * $AB$1^2) * (1-0.86)</f>
        <v>1.7600800000000007E-2</v>
      </c>
      <c r="AD18" s="36">
        <f xml:space="preserve"> (0.666 + -0.009 * $AB$1 + 0.0000755 * $AB$1^2) * (1-0.79)</f>
        <v>8.3538000000000015E-2</v>
      </c>
      <c r="AE18" s="36"/>
      <c r="AF18" s="36">
        <f>0.0195*$AB$1^2 - 3.09*$AB$1 + 188.85</f>
        <v>73.65000000000002</v>
      </c>
      <c r="AG18" s="21">
        <f>2*'[1]DATOS SO2 Y CO2'!$B$30*'[1]FE COPERT 4'!AG18</f>
        <v>4.4190000000000011E-3</v>
      </c>
      <c r="AH18" s="21">
        <f>(44.011*(AF18/(12.011+1.008*1.8)))-(AB18/28.011)-(AC18/13.85)-((AE18*AZ18)/12.011)-((AZ18*AE18*BA18)/13.85)</f>
        <v>234.43051403769914</v>
      </c>
      <c r="AI18" s="36">
        <v>2</v>
      </c>
      <c r="AJ18" s="36">
        <f>+('[1]N2O Y NH3 (C4)'!D117*'[1]FE COPERT 4'!AC1+'[1]N2O Y NH3 (C4)'!E117)*'[1]N2O Y NH3 (C4)'!C117</f>
        <v>1.1719066799999998</v>
      </c>
      <c r="AK18" s="36">
        <f>+('[1]N2O Y NH3 (C4)'!D303*'[1]FE COPERT 4'!AC1+'[1]N2O Y NH3 (C4)'!E303)*'[1]N2O Y NH3 (C4)'!C303</f>
        <v>29.323104430000001</v>
      </c>
      <c r="AL18" s="37">
        <f xml:space="preserve"> (19.127 + -0.5215 * $AL$1 + 0.0037 * $AL$1^2) * (1- 0.48)</f>
        <v>2.0680400000000021</v>
      </c>
      <c r="AM18" s="37">
        <f xml:space="preserve"> (0.5462 + -0.01047 * $AL$1 + 0.0000577 * $AL$1^2) * (1-0.86)</f>
        <v>1.0668000000000007E-2</v>
      </c>
      <c r="AN18" s="37">
        <f xml:space="preserve"> (0.666 + -0.009 * $AL$1 + 0.0000755 * $AL$1^2) * (1-0.79)</f>
        <v>0.10941000000000001</v>
      </c>
      <c r="AO18" s="37"/>
      <c r="AP18" s="37">
        <f>0.0195*$AL$1^2 - 3.09*$AL$1 + 188.85</f>
        <v>74.849999999999994</v>
      </c>
      <c r="AQ18" s="32">
        <f>2*'[1]DATOS SO2 Y CO2'!$B$30*'[1]FE COPERT 4'!AQ18</f>
        <v>4.4910000000000002E-3</v>
      </c>
      <c r="AR18" s="19">
        <f>(44.011*(AP18/(12.011+1.008*1.8)))-(AL18/28.011)-(AM18/13.85)-((AO18*AZ18)/12.011)-((AZ18*AO18*BA18)/13.85)</f>
        <v>238.19867617958434</v>
      </c>
      <c r="AS18" s="37">
        <v>4</v>
      </c>
      <c r="AT18" s="37">
        <f>+('[1]N2O Y NH3 (C4)'!D134*'[1]FE COPERT 4'!AM1+'[1]N2O Y NH3 (C4)'!E134)*'[1]N2O Y NH3 (C4)'!C134</f>
        <v>1.1719777999999998</v>
      </c>
      <c r="AU18" s="37">
        <f>+('[1]N2O Y NH3 (C4)'!D318*'[1]FE COPERT 4'!AM1+'[1]N2O Y NH3 (C4)'!E318)*'[1]N2O Y NH3 (C4)'!C318</f>
        <v>64.535784370000002</v>
      </c>
      <c r="AV18" s="4" t="s">
        <v>131</v>
      </c>
      <c r="AW18" s="4" t="s">
        <v>60</v>
      </c>
      <c r="AX18" s="4" t="s">
        <v>119</v>
      </c>
      <c r="AZ18" s="24">
        <f>+'[1]DATOS SO2 Y CO2'!$D$83</f>
        <v>0.15</v>
      </c>
      <c r="BA18" s="24">
        <f>+'[1]DATOS SO2 Y CO2'!$E$83</f>
        <v>3</v>
      </c>
    </row>
    <row r="19" spans="1:53" ht="56.25">
      <c r="A19" s="1" t="s">
        <v>5</v>
      </c>
      <c r="B19" s="1" t="s">
        <v>46</v>
      </c>
      <c r="C19" s="1" t="s">
        <v>20</v>
      </c>
      <c r="D19" s="1" t="s">
        <v>3</v>
      </c>
      <c r="E19" s="18"/>
      <c r="F19" s="18" t="s">
        <v>132</v>
      </c>
      <c r="G19" s="18" t="s">
        <v>133</v>
      </c>
      <c r="H19" s="18" t="s">
        <v>134</v>
      </c>
      <c r="I19" s="18" t="s">
        <v>135</v>
      </c>
      <c r="J19" s="18" t="s">
        <v>136</v>
      </c>
      <c r="K19" s="18" t="s">
        <v>137</v>
      </c>
      <c r="L19" s="18" t="s">
        <v>54</v>
      </c>
      <c r="M19" s="18" t="s">
        <v>91</v>
      </c>
      <c r="N19" s="18" t="s">
        <v>92</v>
      </c>
      <c r="O19" s="18" t="s">
        <v>93</v>
      </c>
      <c r="P19" s="18" t="s">
        <v>94</v>
      </c>
      <c r="Q19" s="18" t="s">
        <v>58</v>
      </c>
      <c r="R19" s="34">
        <f xml:space="preserve"> 0.0002* $R$1^2 - 0.0256* $R$1 + 1.8281</f>
        <v>1.3961000000000001</v>
      </c>
      <c r="S19" s="34">
        <f xml:space="preserve"> 0.0000175* $R$1^2 - 0.00284* $R$1 + 0.2162</f>
        <v>0.16639999999999999</v>
      </c>
      <c r="T19" s="34">
        <f xml:space="preserve"> 0.000816* $R$1^2 - 0.1189* $R$1 + 5.1234</f>
        <v>3.0718000000000001</v>
      </c>
      <c r="U19" s="34">
        <f xml:space="preserve"> 0.0000125* $R$1^2 - 0.000577* $R$1 + 0.288</f>
        <v>0.28145999999999999</v>
      </c>
      <c r="V19" s="34">
        <f>0.02113*$R$1^2 - 2.65*$R$1 + 148.91</f>
        <v>104.36199999999999</v>
      </c>
      <c r="W19" s="33">
        <f>2*'[1]DATOS SO2 Y CO2'!$B$30*'[1]FE COPERT 4'!W19</f>
        <v>6.2617200000000001E-3</v>
      </c>
      <c r="X19" s="19">
        <f>(44.011*(V19/(12.011+1.008*2)))-(R19/28.011)-(S19/13.85)-((U19*AZ19)/12.011)-((U19*AZ19*BA19)/13.85)</f>
        <v>327.36278611458818</v>
      </c>
      <c r="Y19" s="34">
        <v>28</v>
      </c>
      <c r="Z19" s="34">
        <v>0</v>
      </c>
      <c r="AA19" s="34">
        <v>1</v>
      </c>
      <c r="AB19" s="36">
        <f xml:space="preserve"> 0.0002* $AB$1^2 - 0.0256* $AB$1 + 1.8281</f>
        <v>1.0121000000000002</v>
      </c>
      <c r="AC19" s="36">
        <f xml:space="preserve"> 0.0000175* $AB$1^2 - 0.00284* $AB$1 + 0.2162</f>
        <v>0.10880000000000001</v>
      </c>
      <c r="AD19" s="36">
        <f xml:space="preserve"> 0.000816* $AB$1^2 - 0.1189* $AB$1 + 5.1234</f>
        <v>0.9269999999999996</v>
      </c>
      <c r="AE19" s="36">
        <f xml:space="preserve"> 0.0000125* $AB$1^2 - 0.000577* $AB$1 + 0.288</f>
        <v>0.29837999999999998</v>
      </c>
      <c r="AF19" s="36">
        <f>0.02113*$AB$1^2 - 2.65*$AB$1 + 148.91</f>
        <v>65.977999999999994</v>
      </c>
      <c r="AG19" s="21">
        <f>2*'[1]DATOS SO2 Y CO2'!$B$30*'[1]FE COPERT 4'!AG19</f>
        <v>3.95868E-3</v>
      </c>
      <c r="AH19" s="21">
        <f>(44.011*(AF19/(12.011+1.008*2)))-(AB19/28.011)-(AC19/13.85)-((AE19*AZ19)/12.011)-((AE19*AZ19*BA19)/13.85)</f>
        <v>206.94608556782993</v>
      </c>
      <c r="AI19" s="36">
        <v>12</v>
      </c>
      <c r="AJ19" s="36">
        <v>0</v>
      </c>
      <c r="AK19" s="36">
        <v>1</v>
      </c>
      <c r="AL19" s="37">
        <f xml:space="preserve"> 0.0002* $AL$1^2 - 0.0256* $AL$1 + 1.8281</f>
        <v>1.2681</v>
      </c>
      <c r="AM19" s="37">
        <f xml:space="preserve"> 0.0000175* $AL$1^2 - 0.00284* $AL$1 + 0.2162</f>
        <v>0.10719999999999996</v>
      </c>
      <c r="AN19" s="37">
        <f xml:space="preserve"> 0.000816* $AL$1^2 - 0.1189* $AL$1 + 5.1234</f>
        <v>1.3933999999999997</v>
      </c>
      <c r="AO19" s="37">
        <f xml:space="preserve"> 0.0000125* $AL$1^2 - 0.000577* $AL$1 + 0.288</f>
        <v>0.35529999999999995</v>
      </c>
      <c r="AP19" s="37">
        <f>0.02113*$AL$1^2 - 2.65*$AL$1 + 148.91</f>
        <v>95.20999999999998</v>
      </c>
      <c r="AQ19" s="32">
        <f>2*'[1]DATOS SO2 Y CO2'!$B$30*'[1]FE COPERT 4'!AQ19</f>
        <v>5.7125999999999991E-3</v>
      </c>
      <c r="AR19" s="19">
        <f>(44.011*(AP19/(12.011+1.008*2)))-(AL19/28.011)-(AM19/13.85)-((AO19*AZ19)/12.011)-((AO19*AZ19*BA19)/13.85)</f>
        <v>298.65095625317946</v>
      </c>
      <c r="AS19" s="37">
        <v>8</v>
      </c>
      <c r="AT19" s="37">
        <v>0</v>
      </c>
      <c r="AU19" s="37">
        <v>1</v>
      </c>
      <c r="AV19" s="4" t="s">
        <v>118</v>
      </c>
      <c r="AW19" s="4" t="s">
        <v>60</v>
      </c>
      <c r="AX19" s="4" t="s">
        <v>96</v>
      </c>
      <c r="AZ19" s="24">
        <f>+'[1]DATOS SO2 Y CO2'!$D$84</f>
        <v>0.55000000000000004</v>
      </c>
      <c r="BA19" s="24">
        <f>+'[1]DATOS SO2 Y CO2'!$E$84</f>
        <v>0.7</v>
      </c>
    </row>
    <row r="20" spans="1:53" ht="56.25">
      <c r="A20" s="1" t="s">
        <v>5</v>
      </c>
      <c r="B20" s="1" t="s">
        <v>46</v>
      </c>
      <c r="C20" s="1" t="s">
        <v>20</v>
      </c>
      <c r="D20" s="1" t="s">
        <v>6</v>
      </c>
      <c r="E20" s="18" t="s">
        <v>138</v>
      </c>
      <c r="F20" s="18" t="s">
        <v>139</v>
      </c>
      <c r="G20" s="18" t="s">
        <v>140</v>
      </c>
      <c r="H20" s="18" t="s">
        <v>141</v>
      </c>
      <c r="I20" s="18" t="s">
        <v>142</v>
      </c>
      <c r="J20" s="18" t="s">
        <v>143</v>
      </c>
      <c r="K20" s="18" t="s">
        <v>144</v>
      </c>
      <c r="L20" s="18" t="s">
        <v>54</v>
      </c>
      <c r="M20" s="18" t="s">
        <v>91</v>
      </c>
      <c r="N20" s="18" t="s">
        <v>101</v>
      </c>
      <c r="O20" s="18" t="s">
        <v>102</v>
      </c>
      <c r="P20" s="18" t="s">
        <v>94</v>
      </c>
      <c r="Q20" s="18" t="s">
        <v>58</v>
      </c>
      <c r="R20" s="34">
        <f xml:space="preserve"> 1.076 + - 0.026 * $R$1 + 0.000223 * $R$1^2</f>
        <v>0.6452</v>
      </c>
      <c r="S20" s="34">
        <f xml:space="preserve"> 0.2162 + - 0.00284 * $R$1 +0.0000175 * $R$1^2</f>
        <v>0.16639999999999999</v>
      </c>
      <c r="T20" s="34">
        <f xml:space="preserve"> 2.0247 + - 0.03181 * $R$1 +0.000241 * $R$1^2</f>
        <v>1.4849000000000001</v>
      </c>
      <c r="U20" s="34">
        <f xml:space="preserve"> 0.1932 + - 0.004885 * $R$1 + 0.000045 * $R$1^2</f>
        <v>0.11350000000000002</v>
      </c>
      <c r="V20" s="34">
        <f>0.0198*$R$1^2 - 2.506*$R$1 + 137.42</f>
        <v>95.22</v>
      </c>
      <c r="W20" s="33">
        <f>2*'[1]DATOS SO2 Y CO2'!$B$30*'[1]FE COPERT 4'!W20</f>
        <v>5.7131999999999999E-3</v>
      </c>
      <c r="X20" s="19">
        <f>(44.011*(V20/(12.011+1.008*2)))-(R20/28.011)-(S20/13.85)-((U20*AZ20)/12.011)-((U20*AZ20*BA20)/13.85)</f>
        <v>298.71753238039111</v>
      </c>
      <c r="Y20" s="34">
        <v>11</v>
      </c>
      <c r="Z20" s="34">
        <v>2</v>
      </c>
      <c r="AA20" s="34">
        <v>1</v>
      </c>
      <c r="AB20" s="36">
        <f xml:space="preserve"> 1.076 + - 0.026 * $AB$1 + 0.000223 * $AB$1^2</f>
        <v>0.31880000000000019</v>
      </c>
      <c r="AC20" s="36">
        <f xml:space="preserve"> 0.2162 + - 0.00284 * $AB$1 +0.0000175 * $AB$1^2</f>
        <v>0.10880000000000001</v>
      </c>
      <c r="AD20" s="36">
        <f xml:space="preserve"> 2.0247 + - 0.03181 * $AB$1 +0.000241 * $AB$1^2</f>
        <v>0.98370000000000035</v>
      </c>
      <c r="AE20" s="36">
        <f xml:space="preserve"> 0.1932 + - 0.004885 * $AB$1 + 0.000045 * $AB$1^2</f>
        <v>6.2100000000000044E-2</v>
      </c>
      <c r="AF20" s="36">
        <f>0.0198*$AB$1^2 - 2.506*$AB$1 + 137.42</f>
        <v>58.34</v>
      </c>
      <c r="AG20" s="21">
        <f>2*'[1]DATOS SO2 Y CO2'!$B$30*'[1]FE COPERT 4'!AG20</f>
        <v>3.5004000000000003E-3</v>
      </c>
      <c r="AH20" s="21">
        <f>(44.011*(AF20/(12.011+1.008*2)))-(AB20/28.011)-(AC20/13.85)-((AE20*AZ20)/12.011)-((AE20*AZ20*BA20)/13.85)</f>
        <v>183.02299339675031</v>
      </c>
      <c r="AI20" s="36">
        <v>9</v>
      </c>
      <c r="AJ20" s="36">
        <v>4</v>
      </c>
      <c r="AK20" s="36">
        <v>1</v>
      </c>
      <c r="AL20" s="37">
        <f xml:space="preserve"> 1.076 + - 0.026 * $AL$1 + 0.000223 * $AL$1^2</f>
        <v>0.70599999999999996</v>
      </c>
      <c r="AM20" s="37">
        <f xml:space="preserve"> 0.2162 + - 0.00284 * $AL$1 +0.0000175 * $AL$1^2</f>
        <v>0.10719999999999996</v>
      </c>
      <c r="AN20" s="37">
        <f xml:space="preserve"> 2.0247 + - 0.03181 * $AL$1 +0.000241 * $AL$1^2</f>
        <v>1.2537000000000007</v>
      </c>
      <c r="AO20" s="37">
        <f xml:space="preserve"> 0.1932 + - 0.004885 * $AL$1 + 0.000045 * $AL$1^2</f>
        <v>0.15470000000000012</v>
      </c>
      <c r="AP20" s="37">
        <f>0.0198*$AL$1^2 - 2.506*$AL$1 + 137.42</f>
        <v>84.82000000000005</v>
      </c>
      <c r="AQ20" s="32">
        <f>2*'[1]DATOS SO2 Y CO2'!$B$30*'[1]FE COPERT 4'!AQ20</f>
        <v>5.0892000000000029E-3</v>
      </c>
      <c r="AR20" s="19">
        <f>(44.011*(AP20/(12.011+1.008*2)))-(AL20/28.011)-(AM20/13.85)-((AO20*AZ20)/12.011)-((AO20*AZ20*BA20)/13.85)</f>
        <v>266.08544752871296</v>
      </c>
      <c r="AS20" s="37">
        <v>3</v>
      </c>
      <c r="AT20" s="37">
        <v>4</v>
      </c>
      <c r="AU20" s="37">
        <v>1</v>
      </c>
      <c r="AV20" s="4" t="s">
        <v>118</v>
      </c>
      <c r="AW20" s="4" t="s">
        <v>60</v>
      </c>
      <c r="AX20" s="4" t="s">
        <v>96</v>
      </c>
      <c r="AZ20" s="24">
        <f>+'[1]DATOS SO2 Y CO2'!$D$85</f>
        <v>0.7</v>
      </c>
      <c r="BA20" s="24">
        <f>+'[1]DATOS SO2 Y CO2'!$E$85</f>
        <v>0.4</v>
      </c>
    </row>
    <row r="21" spans="1:53" ht="56.25">
      <c r="A21" s="1" t="s">
        <v>5</v>
      </c>
      <c r="B21" s="1" t="s">
        <v>46</v>
      </c>
      <c r="C21" s="1" t="s">
        <v>20</v>
      </c>
      <c r="D21" s="1" t="s">
        <v>2</v>
      </c>
      <c r="E21" s="18" t="s">
        <v>145</v>
      </c>
      <c r="F21" s="18" t="s">
        <v>146</v>
      </c>
      <c r="G21" s="18" t="s">
        <v>147</v>
      </c>
      <c r="H21" s="18" t="s">
        <v>148</v>
      </c>
      <c r="I21" s="18" t="s">
        <v>149</v>
      </c>
      <c r="J21" s="18" t="s">
        <v>150</v>
      </c>
      <c r="K21" s="18" t="s">
        <v>144</v>
      </c>
      <c r="L21" s="18" t="s">
        <v>54</v>
      </c>
      <c r="M21" s="18" t="s">
        <v>91</v>
      </c>
      <c r="N21" s="18" t="s">
        <v>106</v>
      </c>
      <c r="O21" s="18" t="s">
        <v>107</v>
      </c>
      <c r="P21" s="18" t="s">
        <v>94</v>
      </c>
      <c r="Q21" s="18" t="s">
        <v>58</v>
      </c>
      <c r="R21" s="34">
        <f xml:space="preserve"> (1.076 + - 0.026 * $R$1 + 0.000223 * $R$1^2) * (1- 0.18)</f>
        <v>0.52906400000000009</v>
      </c>
      <c r="S21" s="34">
        <f xml:space="preserve"> (0.2162 + - 0.00284* $R$1 +0.0000175* $R$1^2)* (1- 0.38)</f>
        <v>0.103168</v>
      </c>
      <c r="T21" s="34">
        <f xml:space="preserve"> (2.0247 + - 0.03181 * $R$1 +0.000241 * $R$1^2) * (1-0.16 )</f>
        <v>1.2473160000000001</v>
      </c>
      <c r="U21" s="34">
        <f xml:space="preserve"> (0.1932 + - 0.004885 * $R$1 + 0.000045 * $R$1^2) * (1-0.33)</f>
        <v>7.6045000000000001E-2</v>
      </c>
      <c r="V21" s="34">
        <f>0.0198*$R$1^2 - 2.506*$R$1 + 137.42</f>
        <v>95.22</v>
      </c>
      <c r="W21" s="33">
        <f>2*'[1]DATOS SO2 Y CO2'!$B$30*'[1]FE COPERT 4'!W21</f>
        <v>5.7131999999999999E-3</v>
      </c>
      <c r="X21" s="19">
        <f>(44.011*(V21/(12.011+1.008*2)))-(R21/28.011)-(S21/13.85)-((U21*AZ21)/12.011)-((U21*AZ21*BA21)/13.85)</f>
        <v>298.72907166689367</v>
      </c>
      <c r="Y21" s="34">
        <v>3</v>
      </c>
      <c r="Z21" s="34">
        <v>9</v>
      </c>
      <c r="AA21" s="34">
        <v>1</v>
      </c>
      <c r="AB21" s="36">
        <f xml:space="preserve"> (1.076 + - 0.026 * $AB$1 + 0.000223 * $AB$1^2) * (1- 0.18)</f>
        <v>0.2614160000000002</v>
      </c>
      <c r="AC21" s="36">
        <f xml:space="preserve"> (0.2162 + - 0.00284* $AB$1 +0.0000175* $AB$1^2)* (1- 0.38)</f>
        <v>6.7456000000000002E-2</v>
      </c>
      <c r="AD21" s="36">
        <f xml:space="preserve"> (2.0247 + - 0.03181 * $AB$1 +0.000241 * $AB$1^2) * (1-0.16 )</f>
        <v>0.82630800000000026</v>
      </c>
      <c r="AE21" s="36">
        <f xml:space="preserve"> (0.1932 + - 0.004885 * $AB$1 + 0.000045 * $AB$1^2) * (1-0.33)</f>
        <v>4.1607000000000026E-2</v>
      </c>
      <c r="AF21" s="36">
        <f>0.0198*$AB$1^2 - 2.506*$AB$1 + 137.42</f>
        <v>58.34</v>
      </c>
      <c r="AG21" s="21">
        <f>2*'[1]DATOS SO2 Y CO2'!$B$30*'[1]FE COPERT 4'!AG21</f>
        <v>3.5004000000000003E-3</v>
      </c>
      <c r="AH21" s="21">
        <f>(44.011*(AF21/(12.011+1.008*2)))-(AB21/28.011)-(AC21/13.85)-((AE21*AZ21)/12.011)-((AE21*AZ21*BA21)/13.85)</f>
        <v>183.02957429240092</v>
      </c>
      <c r="AI21" s="36">
        <v>0</v>
      </c>
      <c r="AJ21" s="36">
        <v>4</v>
      </c>
      <c r="AK21" s="36">
        <v>1</v>
      </c>
      <c r="AL21" s="37">
        <f xml:space="preserve"> (1.076 + - 0.026 * $AL$1 + 0.000223 * $AL$1^2) * (1- 0.18)</f>
        <v>0.57891999999999999</v>
      </c>
      <c r="AM21" s="37">
        <f xml:space="preserve"> (0.2162 + - 0.00284* $AL$1 +0.0000175* $AL$1^2)* (1- 0.38)</f>
        <v>6.6463999999999981E-2</v>
      </c>
      <c r="AN21" s="37">
        <f xml:space="preserve"> (2.0247 + - 0.03181 * $AL$1 +0.000241 * $AL$1^2) * (1-0.16 )</f>
        <v>1.0531080000000006</v>
      </c>
      <c r="AO21" s="37">
        <f xml:space="preserve"> (0.1932 + - 0.004885 * $AL$1 + 0.000045 * $AL$1^2) * (1-0.33)</f>
        <v>0.10364900000000006</v>
      </c>
      <c r="AP21" s="37">
        <f>0.0198*$AL$1^2 - 2.506*$AL$1 + 137.42</f>
        <v>84.82000000000005</v>
      </c>
      <c r="AQ21" s="32">
        <f>2*'[1]DATOS SO2 Y CO2'!$B$30*'[1]FE COPERT 4'!AQ21</f>
        <v>5.0892000000000029E-3</v>
      </c>
      <c r="AR21" s="19">
        <f>(44.011*(AP21/(12.011+1.008*2)))-(AL21/28.011)-(AM21/13.85)-((AO21*AZ21)/12.011)-((AO21*AZ21*BA21)/13.85)</f>
        <v>266.09677970654576</v>
      </c>
      <c r="AS21" s="37">
        <v>0</v>
      </c>
      <c r="AT21" s="37">
        <v>4</v>
      </c>
      <c r="AU21" s="37">
        <v>1</v>
      </c>
      <c r="AV21" s="4" t="s">
        <v>131</v>
      </c>
      <c r="AW21" s="4" t="s">
        <v>60</v>
      </c>
      <c r="AX21" s="4" t="s">
        <v>96</v>
      </c>
      <c r="AZ21" s="24">
        <f>+'[1]DATOS SO2 Y CO2'!$D$86</f>
        <v>0.85</v>
      </c>
      <c r="BA21" s="24">
        <f>+'[1]DATOS SO2 Y CO2'!$E$86</f>
        <v>0.15</v>
      </c>
    </row>
    <row r="22" spans="1:53" ht="56.25">
      <c r="A22" s="1" t="s">
        <v>5</v>
      </c>
      <c r="B22" s="1" t="s">
        <v>46</v>
      </c>
      <c r="C22" s="1" t="s">
        <v>20</v>
      </c>
      <c r="D22" s="1" t="s">
        <v>4</v>
      </c>
      <c r="E22" s="18" t="s">
        <v>151</v>
      </c>
      <c r="F22" s="18" t="s">
        <v>152</v>
      </c>
      <c r="G22" s="18" t="s">
        <v>153</v>
      </c>
      <c r="H22" s="18" t="s">
        <v>154</v>
      </c>
      <c r="I22" s="18" t="s">
        <v>155</v>
      </c>
      <c r="J22" s="18" t="s">
        <v>156</v>
      </c>
      <c r="K22" s="18" t="s">
        <v>144</v>
      </c>
      <c r="L22" s="18" t="s">
        <v>54</v>
      </c>
      <c r="M22" s="18" t="s">
        <v>91</v>
      </c>
      <c r="N22" s="18" t="s">
        <v>111</v>
      </c>
      <c r="O22" s="18" t="s">
        <v>107</v>
      </c>
      <c r="P22" s="18" t="s">
        <v>94</v>
      </c>
      <c r="Q22" s="18" t="s">
        <v>58</v>
      </c>
      <c r="R22" s="34">
        <f xml:space="preserve"> (1.076 + - 0.026 * $R$1 + 0.000223 * $R$1^2) * (1- 0.35)</f>
        <v>0.41938000000000003</v>
      </c>
      <c r="S22" s="34">
        <f xml:space="preserve"> (0.2162 + - 0.00284* $R$1 +0.0000175* $R$1^2)* (1- 0.77)</f>
        <v>3.8271999999999994E-2</v>
      </c>
      <c r="T22" s="34">
        <f xml:space="preserve"> (2.0247 + - 0.03181 * $R$1 +0.000241 * $R$1^2) * (1-0.32 )</f>
        <v>1.0097320000000001</v>
      </c>
      <c r="U22" s="34">
        <f xml:space="preserve"> (0.1932 + - 0.004885 * $R$1 + 0.000045 * $R$1^2) * (1-0.65)</f>
        <v>3.9725000000000003E-2</v>
      </c>
      <c r="V22" s="34">
        <f>0.0198*$R$1^2 - 2.506*$R$1 + 137.42</f>
        <v>95.22</v>
      </c>
      <c r="W22" s="33">
        <f>2*'[1]DATOS SO2 Y CO2'!$B$30*'[1]FE COPERT 4'!W22</f>
        <v>5.7131999999999999E-3</v>
      </c>
      <c r="X22" s="19">
        <f>(44.011*(V22/(12.011+1.008*2)))-(R22/28.011)-(S22/13.85)-((U22*AZ22)/12.011)-((U22*AZ22*BA22)/13.85)</f>
        <v>298.74055286521599</v>
      </c>
      <c r="Y22" s="34">
        <v>0</v>
      </c>
      <c r="Z22" s="34">
        <v>9</v>
      </c>
      <c r="AA22" s="34">
        <v>1</v>
      </c>
      <c r="AB22" s="36">
        <f xml:space="preserve"> (1.076 + - 0.026 * $AB$1 + 0.000223 * $AB$1^2) * (1- 0.35)</f>
        <v>0.20722000000000013</v>
      </c>
      <c r="AC22" s="36">
        <f xml:space="preserve"> (0.2162 + - 0.00284* $AB$1 +0.0000175* $AB$1^2)* (1- 0.77)</f>
        <v>2.5024000000000001E-2</v>
      </c>
      <c r="AD22" s="36">
        <f xml:space="preserve"> (2.0247 + - 0.03181 * $AB$1 +0.000241 * $AB$1^2) * (1-0.32 )</f>
        <v>0.66891600000000018</v>
      </c>
      <c r="AE22" s="36">
        <f xml:space="preserve"> (0.1932 + - 0.004885 * $AB$1 + 0.000045 * $AB$1^2) * (1-0.65)</f>
        <v>2.1735000000000015E-2</v>
      </c>
      <c r="AF22" s="36">
        <f>0.0198*$AB$1^2 - 2.506*$AB$1 + 137.42</f>
        <v>58.34</v>
      </c>
      <c r="AG22" s="21">
        <f>2*'[1]DATOS SO2 Y CO2'!$B$30*'[1]FE COPERT 4'!AG22</f>
        <v>3.5004000000000003E-3</v>
      </c>
      <c r="AH22" s="21">
        <f>(44.011*(AF22/(12.011+1.008*2)))-(AB22/28.011)-(AC22/13.85)-((AE22*AZ22)/12.011)-((AE22*AZ22*BA22)/13.85)</f>
        <v>183.03614844039993</v>
      </c>
      <c r="AI22" s="36">
        <v>0</v>
      </c>
      <c r="AJ22" s="36">
        <v>4</v>
      </c>
      <c r="AK22" s="36">
        <v>1</v>
      </c>
      <c r="AL22" s="37">
        <f xml:space="preserve"> (1.076 + - 0.026 * $AL$1 + 0.000223 * $AL$1^2) * (1- 0.35)</f>
        <v>0.45889999999999997</v>
      </c>
      <c r="AM22" s="37">
        <f xml:space="preserve"> (0.2162 + - 0.00284* $AL$1 +0.0000175* $AL$1^2)* (1- 0.77)</f>
        <v>2.465599999999999E-2</v>
      </c>
      <c r="AN22" s="37">
        <f xml:space="preserve"> (2.0247 + - 0.03181 * $AL$1 +0.000241 * $AL$1^2) * (1-0.32 )</f>
        <v>0.85251600000000038</v>
      </c>
      <c r="AO22" s="37">
        <f xml:space="preserve"> (0.1932 + - 0.004885 * $AL$1 + 0.000045 * $AL$1^2) * (1-0.65)</f>
        <v>5.414500000000004E-2</v>
      </c>
      <c r="AP22" s="37">
        <f>0.0198*$AL$1^2 - 2.506*$AL$1 + 137.42</f>
        <v>84.82000000000005</v>
      </c>
      <c r="AQ22" s="32">
        <f>2*'[1]DATOS SO2 Y CO2'!$B$30*'[1]FE COPERT 4'!AQ22</f>
        <v>5.0892000000000029E-3</v>
      </c>
      <c r="AR22" s="19">
        <f>(44.011*(AP22/(12.011+1.008*2)))-(AL22/28.011)-(AM22/13.85)-((AO22*AZ22)/12.011)-((AO22*AZ22*BA22)/13.85)</f>
        <v>266.10800826082334</v>
      </c>
      <c r="AS22" s="37">
        <v>0</v>
      </c>
      <c r="AT22" s="37">
        <v>4</v>
      </c>
      <c r="AU22" s="37">
        <v>1</v>
      </c>
      <c r="AV22" s="4" t="s">
        <v>131</v>
      </c>
      <c r="AW22" s="4" t="s">
        <v>60</v>
      </c>
      <c r="AX22" s="4" t="s">
        <v>96</v>
      </c>
      <c r="AZ22" s="24">
        <f>+'[1]DATOS SO2 Y CO2'!$D$87</f>
        <v>0.87</v>
      </c>
      <c r="BA22" s="24">
        <f>+'[1]DATOS SO2 Y CO2'!$E$87</f>
        <v>0.13</v>
      </c>
    </row>
    <row r="23" spans="1:53" ht="56.25">
      <c r="A23" s="1" t="s">
        <v>7</v>
      </c>
      <c r="B23" s="1" t="s">
        <v>157</v>
      </c>
      <c r="C23" s="1" t="s">
        <v>19</v>
      </c>
      <c r="D23" s="1" t="s">
        <v>3</v>
      </c>
      <c r="E23" s="18" t="s">
        <v>112</v>
      </c>
      <c r="F23" s="18" t="s">
        <v>113</v>
      </c>
      <c r="G23" s="18" t="s">
        <v>114</v>
      </c>
      <c r="H23" s="18" t="s">
        <v>115</v>
      </c>
      <c r="I23" s="18" t="s">
        <v>116</v>
      </c>
      <c r="J23" s="18" t="s">
        <v>52</v>
      </c>
      <c r="K23" s="18" t="s">
        <v>117</v>
      </c>
      <c r="L23" s="18" t="s">
        <v>54</v>
      </c>
      <c r="M23" s="18" t="s">
        <v>55</v>
      </c>
      <c r="N23" s="18" t="s">
        <v>56</v>
      </c>
      <c r="O23" s="18" t="s">
        <v>57</v>
      </c>
      <c r="P23" s="18" t="s">
        <v>57</v>
      </c>
      <c r="Q23" s="18" t="s">
        <v>58</v>
      </c>
      <c r="R23" s="19">
        <f xml:space="preserve"> 57.789 + -1.5132 * $R$1 + 0.01104 * $R$1^2</f>
        <v>31.940999999999999</v>
      </c>
      <c r="S23" s="19">
        <f xml:space="preserve"> 5.4734 + -0.117 * $R$1 + 0.000677 * $R$1^2</f>
        <v>3.4041999999999994</v>
      </c>
      <c r="T23" s="19">
        <f xml:space="preserve"> 1.9547 + 0.0179 * $R$1</f>
        <v>2.3127</v>
      </c>
      <c r="U23" s="19"/>
      <c r="V23" s="34">
        <f>0.0167*$R$1^2 - 2.649*$R$1 + 161.51</f>
        <v>115.20999999999998</v>
      </c>
      <c r="W23" s="33">
        <f>2*'[1]DATOS SO2 Y CO2'!$B$30*'[1]FE COPERT 4'!W23</f>
        <v>6.9125999999999988E-3</v>
      </c>
      <c r="X23" s="19">
        <f>(44.011*(V23/(12.011+1.008*1.8)))-(R23/28.011)-(S23/13.85)-((U23*AZ23)/12.011)-((AZ23*U23*BA23)/13.85)</f>
        <v>365.36693512257563</v>
      </c>
      <c r="Y23" s="19">
        <v>131</v>
      </c>
      <c r="Z23" s="34">
        <f>+('[1]N2O Y NH3 (C4)'!D95*'[1]FE COPERT 4'!S1+'[1]N2O Y NH3 (C4)'!E95)*'[1]N2O Y NH3 (C4)'!C95</f>
        <v>10</v>
      </c>
      <c r="AA23" s="19">
        <f>+('[1]N2O Y NH3 (C4)'!D285*'[1]FE COPERT 4'!S1+'[1]N2O Y NH3 (C4)'!E285)*'[1]N2O Y NH3 (C4)'!C285</f>
        <v>2</v>
      </c>
      <c r="AB23" s="21">
        <f xml:space="preserve"> 57.789 + -1.5132 * $AB$1 + 0.01104 * $AB$1^2</f>
        <v>6.7409999999999997</v>
      </c>
      <c r="AC23" s="21">
        <f xml:space="preserve"> 5.4734 + -0.117 * $AB$1 + 0.000677 * $AB$1^2</f>
        <v>0.89059999999999917</v>
      </c>
      <c r="AD23" s="21">
        <f xml:space="preserve"> 1.9547 + 0.0179 * $AB$1</f>
        <v>3.0286999999999997</v>
      </c>
      <c r="AE23" s="21"/>
      <c r="AF23" s="21">
        <f>0.0167*$AB$1^2 - 2.649*$AB$1 + 161.51</f>
        <v>62.69</v>
      </c>
      <c r="AG23" s="21">
        <f>2*'[1]DATOS SO2 Y CO2'!$B$30*'[1]FE COPERT 4'!AG23</f>
        <v>3.7613999999999998E-3</v>
      </c>
      <c r="AH23" s="21">
        <f>(44.011*(AF23/(12.011+1.008*1.8)))-(AB23/28.011)-(AC23/13.85)-((AE23*AZ23)/12.011)-((AZ23*AE23*BA23)/13.85)</f>
        <v>199.2588578925525</v>
      </c>
      <c r="AI23" s="21">
        <v>86</v>
      </c>
      <c r="AJ23" s="21">
        <f>+('[1]N2O Y NH3 (C4)'!D112*'[1]FE COPERT 4'!AC1+'[1]N2O Y NH3 (C4)'!E112)*'[1]N2O Y NH3 (C4)'!C112</f>
        <v>6.5</v>
      </c>
      <c r="AK23" s="21">
        <f>+('[1]N2O Y NH3 (C4)'!D298*'[1]FE COPERT 4'!AC1+'[1]N2O Y NH3 (C4)'!E298)*'[1]N2O Y NH3 (C4)'!C298</f>
        <v>2</v>
      </c>
      <c r="AL23" s="22">
        <f xml:space="preserve"> 57.789 + -1.5132 * $AL$1 + 0.01104 * $AL$1^2</f>
        <v>16.868999999999971</v>
      </c>
      <c r="AM23" s="22">
        <f xml:space="preserve"> 5.4734 + -0.117 * $AL$1 + 0.000677 * $AL$1^2</f>
        <v>0.54339999999999833</v>
      </c>
      <c r="AN23" s="22">
        <f xml:space="preserve"> 1.9547 + 0.0179 * $AL$1</f>
        <v>3.7446999999999999</v>
      </c>
      <c r="AO23" s="22"/>
      <c r="AP23" s="22">
        <f>0.0167*$AL$1^2 - 2.649*$AL$1 + 161.51</f>
        <v>63.610000000000014</v>
      </c>
      <c r="AQ23" s="32">
        <f>2*'[1]DATOS SO2 Y CO2'!$B$30*'[1]FE COPERT 4'!AQ23</f>
        <v>3.8166000000000007E-3</v>
      </c>
      <c r="AR23" s="19">
        <f>(44.011*(AP23/(12.011+1.008*1.8)))-(AL23/28.011)-(AM23/13.85)-((AO23*AZ23)/12.011)-((AZ23*AO23*BA23)/13.85)</f>
        <v>201.85103044979974</v>
      </c>
      <c r="AS23" s="22">
        <v>41</v>
      </c>
      <c r="AT23" s="22">
        <f>+('[1]N2O Y NH3 (C4)'!D129*'[1]FE COPERT 4'!AM1+'[1]N2O Y NH3 (C4)'!E129)*'[1]N2O Y NH3 (C4)'!C129</f>
        <v>6.5</v>
      </c>
      <c r="AU23" s="22">
        <f>+('[1]N2O Y NH3 (C4)'!D313*'[1]FE COPERT 4'!AM1+'[1]N2O Y NH3 (C4)'!E313)*'[1]N2O Y NH3 (C4)'!C313</f>
        <v>2</v>
      </c>
      <c r="AV23" s="4" t="s">
        <v>118</v>
      </c>
      <c r="AW23" s="4" t="s">
        <v>60</v>
      </c>
      <c r="AX23" s="4" t="s">
        <v>119</v>
      </c>
      <c r="AZ23" s="24">
        <f>+'[1]DATOS SO2 Y CO2'!$D$81</f>
        <v>0.02</v>
      </c>
      <c r="BA23" s="24">
        <f>+'[1]DATOS SO2 Y CO2'!$E$81</f>
        <v>49</v>
      </c>
    </row>
    <row r="24" spans="1:53" ht="56.25">
      <c r="A24" s="1" t="s">
        <v>7</v>
      </c>
      <c r="B24" s="1" t="s">
        <v>157</v>
      </c>
      <c r="C24" s="1" t="s">
        <v>19</v>
      </c>
      <c r="D24" s="1" t="s">
        <v>6</v>
      </c>
      <c r="E24" s="18" t="s">
        <v>120</v>
      </c>
      <c r="F24" s="18" t="s">
        <v>121</v>
      </c>
      <c r="G24" s="18" t="s">
        <v>122</v>
      </c>
      <c r="H24" s="18" t="s">
        <v>123</v>
      </c>
      <c r="I24" s="18" t="s">
        <v>124</v>
      </c>
      <c r="J24" s="18" t="s">
        <v>52</v>
      </c>
      <c r="K24" s="18" t="s">
        <v>125</v>
      </c>
      <c r="L24" s="18" t="s">
        <v>54</v>
      </c>
      <c r="M24" s="18" t="s">
        <v>55</v>
      </c>
      <c r="N24" s="18" t="s">
        <v>75</v>
      </c>
      <c r="O24" s="18" t="s">
        <v>57</v>
      </c>
      <c r="P24" s="18" t="s">
        <v>57</v>
      </c>
      <c r="Q24" s="18" t="s">
        <v>58</v>
      </c>
      <c r="R24" s="19">
        <f xml:space="preserve"> 19.127 + -0.5215 * $R$1 + 0.0037 * $R$1^2</f>
        <v>10.177</v>
      </c>
      <c r="S24" s="19">
        <f xml:space="preserve"> 0.5462 + -0.01047 * $R$1 + 0.0000577 * $R$1^2</f>
        <v>0.35987999999999998</v>
      </c>
      <c r="T24" s="19">
        <f xml:space="preserve"> 0.666 + -0.009 * $R$1 + 0.0000755 * $R$1^2</f>
        <v>0.51619999999999999</v>
      </c>
      <c r="U24" s="19"/>
      <c r="V24" s="34">
        <f>0.0195*$R$1^2 - 3.09*$R$1 + 188.85</f>
        <v>134.85</v>
      </c>
      <c r="W24" s="33">
        <f>2*'[1]DATOS SO2 Y CO2'!$B$30*'[1]FE COPERT 4'!W24</f>
        <v>8.0909999999999992E-3</v>
      </c>
      <c r="X24" s="19">
        <f>(44.011*(V24/(12.011+1.008*1.8)))-(R24/28.011)-(S24/13.85)-((U24*AZ24)/12.011)-((AZ24*U24*BA24)/13.85)</f>
        <v>428.88459237496221</v>
      </c>
      <c r="Y24" s="19">
        <v>26</v>
      </c>
      <c r="Z24" s="34">
        <f>+('[1]N2O Y NH3 (C4)'!D96*'[1]FE COPERT 4'!S1+'[1]N2O Y NH3 (C4)'!E96)*'[1]N2O Y NH3 (C4)'!C96</f>
        <v>21.996933900000002</v>
      </c>
      <c r="AA24" s="19">
        <f>+('[1]N2O Y NH3 (C4)'!D286*'[1]FE COPERT 4'!S1+'[1]N2O Y NH3 (C4)'!E286)*'[1]N2O Y NH3 (C4)'!C286</f>
        <v>70</v>
      </c>
      <c r="AB24" s="21">
        <f xml:space="preserve"> 19.127 + -0.5215 * $AB$1 + 0.0037 * $AB$1^2</f>
        <v>1.157</v>
      </c>
      <c r="AC24" s="21">
        <f xml:space="preserve"> 0.5462 + -0.01047 * $AB$1 + 0.0000577 * $AB$1^2</f>
        <v>0.12572000000000003</v>
      </c>
      <c r="AD24" s="21">
        <f xml:space="preserve"> 0.666 + -0.009 * $AB$1 + 0.0000755 * $AB$1^2</f>
        <v>0.39780000000000015</v>
      </c>
      <c r="AE24" s="21"/>
      <c r="AF24" s="21">
        <f>0.0195*$AB$1^2 - 3.09*$AB$1 + 188.85</f>
        <v>73.65000000000002</v>
      </c>
      <c r="AG24" s="21">
        <f>2*'[1]DATOS SO2 Y CO2'!$B$30*'[1]FE COPERT 4'!AG24</f>
        <v>4.4190000000000011E-3</v>
      </c>
      <c r="AH24" s="21">
        <f>(44.011*(AF24/(12.011+1.008*1.8)))-(AB24/28.011)-(AC24/13.85)-((AE24*AZ24)/12.011)-((AZ24*AE24*BA24)/13.85)</f>
        <v>234.40288110053251</v>
      </c>
      <c r="AI24" s="21">
        <v>16</v>
      </c>
      <c r="AJ24" s="21">
        <f>+('[1]N2O Y NH3 (C4)'!D113*'[1]FE COPERT 4'!AC1+'[1]N2O Y NH3 (C4)'!E113)*'[1]N2O Y NH3 (C4)'!C113</f>
        <v>13.822718999999999</v>
      </c>
      <c r="AK24" s="21">
        <f>+('[1]N2O Y NH3 (C4)'!D299*'[1]FE COPERT 4'!AC1+'[1]N2O Y NH3 (C4)'!E299)*'[1]N2O Y NH3 (C4)'!C299</f>
        <v>130.86946688399999</v>
      </c>
      <c r="AL24" s="22">
        <f xml:space="preserve"> 19.127 + -0.5215 * $AL$1 + 0.0037 * $AL$1^2</f>
        <v>3.9770000000000039</v>
      </c>
      <c r="AM24" s="22">
        <f xml:space="preserve"> 0.5462 + -0.01047 * $AL$1 + 0.0000577 * $AL$1^2</f>
        <v>7.6200000000000045E-2</v>
      </c>
      <c r="AN24" s="22">
        <f xml:space="preserve"> 0.666 + -0.009 * $AL$1 + 0.0000755 * $AL$1^2</f>
        <v>0.52100000000000013</v>
      </c>
      <c r="AO24" s="22"/>
      <c r="AP24" s="22">
        <f>0.0195*$AL$1^2 - 3.09*$AL$1 + 188.85</f>
        <v>74.849999999999994</v>
      </c>
      <c r="AQ24" s="32">
        <f>2*'[1]DATOS SO2 Y CO2'!$B$30*'[1]FE COPERT 4'!AQ24</f>
        <v>4.4910000000000002E-3</v>
      </c>
      <c r="AR24" s="19">
        <f>(44.011*(AP24/(12.011+1.008*1.8)))-(AL24/28.011)-(AM24/13.85)-((AO24*AZ24)/12.011)-((AZ24*AO24*BA24)/13.85)</f>
        <v>238.1257942577401</v>
      </c>
      <c r="AS24" s="22">
        <v>14</v>
      </c>
      <c r="AT24" s="22">
        <f>+('[1]N2O Y NH3 (C4)'!D130*'[1]FE COPERT 4'!AM1+'[1]N2O Y NH3 (C4)'!E130)*'[1]N2O Y NH3 (C4)'!C130</f>
        <v>6.9492978000000001</v>
      </c>
      <c r="AU24" s="22">
        <f>+('[1]N2O Y NH3 (C4)'!D314*'[1]FE COPERT 4'!AM1+'[1]N2O Y NH3 (C4)'!E314)*'[1]N2O Y NH3 (C4)'!C314</f>
        <v>73.153835401999999</v>
      </c>
      <c r="AV24" s="4" t="s">
        <v>118</v>
      </c>
      <c r="AW24" s="4" t="s">
        <v>60</v>
      </c>
      <c r="AX24" s="4" t="s">
        <v>119</v>
      </c>
      <c r="AZ24" s="24">
        <f>+'[1]DATOS SO2 Y CO2'!$D$82</f>
        <v>0.25</v>
      </c>
      <c r="BA24" s="24">
        <f>+'[1]DATOS SO2 Y CO2'!$E$82</f>
        <v>2.5</v>
      </c>
    </row>
    <row r="25" spans="1:53" ht="56.25">
      <c r="A25" s="1" t="s">
        <v>7</v>
      </c>
      <c r="B25" s="1" t="s">
        <v>157</v>
      </c>
      <c r="C25" s="1" t="s">
        <v>19</v>
      </c>
      <c r="D25" s="1" t="s">
        <v>2</v>
      </c>
      <c r="E25" s="18" t="s">
        <v>126</v>
      </c>
      <c r="F25" s="18" t="s">
        <v>127</v>
      </c>
      <c r="G25" s="18" t="s">
        <v>128</v>
      </c>
      <c r="H25" s="18" t="s">
        <v>129</v>
      </c>
      <c r="I25" s="18" t="s">
        <v>130</v>
      </c>
      <c r="J25" s="18" t="s">
        <v>52</v>
      </c>
      <c r="K25" s="18" t="s">
        <v>125</v>
      </c>
      <c r="L25" s="18" t="s">
        <v>54</v>
      </c>
      <c r="M25" s="18" t="s">
        <v>55</v>
      </c>
      <c r="N25" s="18" t="s">
        <v>82</v>
      </c>
      <c r="O25" s="18" t="s">
        <v>57</v>
      </c>
      <c r="P25" s="18" t="s">
        <v>57</v>
      </c>
      <c r="Q25" s="18" t="s">
        <v>58</v>
      </c>
      <c r="R25" s="19">
        <f xml:space="preserve"> (19.127 + -0.5215 * $R$1 + 0.0037 * $R$1^2) * (1- 0.48)</f>
        <v>5.2920400000000001</v>
      </c>
      <c r="S25" s="19">
        <f xml:space="preserve"> (0.5462 + -0.01047 * $R$1 + 0.0000577 * $R$1^2) * (1-0.86)</f>
        <v>5.0383200000000003E-2</v>
      </c>
      <c r="T25" s="19">
        <f xml:space="preserve"> (0.666 + -0.009 * $R$1 + 0.0000755 * $R$1^2) * (1-0.79)</f>
        <v>0.10840199999999998</v>
      </c>
      <c r="U25" s="19"/>
      <c r="V25" s="34">
        <f>0.0195*$R$1^2 - 3.09*$R$1 + 188.85</f>
        <v>134.85</v>
      </c>
      <c r="W25" s="33">
        <f>2*'[1]DATOS SO2 Y CO2'!$B$30*'[1]FE COPERT 4'!W25</f>
        <v>8.0909999999999992E-3</v>
      </c>
      <c r="X25" s="19">
        <f>(44.011*(V25/(12.011+1.008*1.8)))-(R25/28.011)-(S25/13.85)-((U25*AZ25)/12.011)-((AZ25*U25*BA25)/13.85)</f>
        <v>429.08133305939111</v>
      </c>
      <c r="Y25" s="19">
        <v>3</v>
      </c>
      <c r="Z25" s="34">
        <f>+('[1]N2O Y NH3 (C4)'!D100*'[1]FE COPERT 4'!S1+'[1]N2O Y NH3 (C4)'!E100)*'[1]N2O Y NH3 (C4)'!C100</f>
        <v>4.73641588</v>
      </c>
      <c r="AA25" s="19">
        <f>+('[1]N2O Y NH3 (C4)'!D288*'[1]FE COPERT 4'!S1+'[1]N2O Y NH3 (C4)'!E288)*'[1]N2O Y NH3 (C4)'!C288</f>
        <v>1.6378497799999998</v>
      </c>
      <c r="AB25" s="21">
        <f xml:space="preserve"> (19.127 + -0.5215 * $AB$1 + 0.0037 * $AB$1^2) * (1- 0.48)</f>
        <v>0.60164000000000006</v>
      </c>
      <c r="AC25" s="21">
        <f xml:space="preserve"> (0.5462 + -0.01047 * $AB$1 + 0.0000577 * $AB$1^2) * (1-0.86)</f>
        <v>1.7600800000000007E-2</v>
      </c>
      <c r="AD25" s="21">
        <f xml:space="preserve"> (0.666 + -0.009 * $AB$1 + 0.0000755 * $AB$1^2) * (1-0.79)</f>
        <v>8.3538000000000015E-2</v>
      </c>
      <c r="AE25" s="21"/>
      <c r="AF25" s="21">
        <f>0.0195*$AB$1^2 - 3.09*$AB$1 + 188.85</f>
        <v>73.65000000000002</v>
      </c>
      <c r="AG25" s="21">
        <f>2*'[1]DATOS SO2 Y CO2'!$B$30*'[1]FE COPERT 4'!AG25</f>
        <v>4.4190000000000011E-3</v>
      </c>
      <c r="AH25" s="21">
        <f>(44.011*(AF25/(12.011+1.008*1.8)))-(AB25/28.011)-(AC25/13.85)-((AE25*AZ25)/12.011)-((AZ25*AE25*BA25)/13.85)</f>
        <v>234.43051403769914</v>
      </c>
      <c r="AI25" s="21">
        <v>2</v>
      </c>
      <c r="AJ25" s="21">
        <f>+('[1]N2O Y NH3 (C4)'!D117*'[1]FE COPERT 4'!AC1+'[1]N2O Y NH3 (C4)'!E117)*'[1]N2O Y NH3 (C4)'!C117</f>
        <v>1.1719066799999998</v>
      </c>
      <c r="AK25" s="21">
        <f>+('[1]N2O Y NH3 (C4)'!D303*'[1]FE COPERT 4'!AC1+'[1]N2O Y NH3 (C4)'!E303)*'[1]N2O Y NH3 (C4)'!C303</f>
        <v>29.323104430000001</v>
      </c>
      <c r="AL25" s="22">
        <f xml:space="preserve"> (19.127 + -0.5215 * $AL$1 + 0.0037 * $AL$1^2) * (1- 0.48)</f>
        <v>2.0680400000000021</v>
      </c>
      <c r="AM25" s="22">
        <f xml:space="preserve"> (0.5462 + -0.01047 * $AL$1 + 0.0000577 * $AL$1^2) * (1-0.86)</f>
        <v>1.0668000000000007E-2</v>
      </c>
      <c r="AN25" s="22">
        <f xml:space="preserve"> (0.666 + -0.009 * $AL$1 + 0.0000755 * $AL$1^2) * (1-0.79)</f>
        <v>0.10941000000000001</v>
      </c>
      <c r="AO25" s="22"/>
      <c r="AP25" s="22">
        <f>0.0195*$AL$1^2 - 3.09*$AL$1 + 188.85</f>
        <v>74.849999999999994</v>
      </c>
      <c r="AQ25" s="32">
        <f>2*'[1]DATOS SO2 Y CO2'!$B$30*'[1]FE COPERT 4'!AQ25</f>
        <v>4.4910000000000002E-3</v>
      </c>
      <c r="AR25" s="19">
        <f>(44.011*(AP25/(12.011+1.008*1.8)))-(AL25/28.011)-(AM25/13.85)-((AO25*AZ25)/12.011)-((AZ25*AO25*BA25)/13.85)</f>
        <v>238.19867617958434</v>
      </c>
      <c r="AS25" s="22">
        <v>4</v>
      </c>
      <c r="AT25" s="22">
        <f>+('[1]N2O Y NH3 (C4)'!D134*'[1]FE COPERT 4'!AM1+'[1]N2O Y NH3 (C4)'!E134)*'[1]N2O Y NH3 (C4)'!C134</f>
        <v>1.1719777999999998</v>
      </c>
      <c r="AU25" s="22">
        <f>+('[1]N2O Y NH3 (C4)'!D318*'[1]FE COPERT 4'!AM1+'[1]N2O Y NH3 (C4)'!E318)*'[1]N2O Y NH3 (C4)'!C318</f>
        <v>64.535784370000002</v>
      </c>
      <c r="AV25" s="4" t="s">
        <v>131</v>
      </c>
      <c r="AW25" s="4" t="s">
        <v>60</v>
      </c>
      <c r="AX25" s="4" t="s">
        <v>119</v>
      </c>
      <c r="AZ25" s="24">
        <f>+'[1]DATOS SO2 Y CO2'!$D$83</f>
        <v>0.15</v>
      </c>
      <c r="BA25" s="24">
        <f>+'[1]DATOS SO2 Y CO2'!$E$83</f>
        <v>3</v>
      </c>
    </row>
    <row r="26" spans="1:53" ht="56.25">
      <c r="A26" s="1" t="s">
        <v>7</v>
      </c>
      <c r="B26" s="1" t="s">
        <v>157</v>
      </c>
      <c r="C26" s="1" t="s">
        <v>20</v>
      </c>
      <c r="D26" s="1" t="s">
        <v>3</v>
      </c>
      <c r="E26" s="18"/>
      <c r="F26" s="18" t="s">
        <v>132</v>
      </c>
      <c r="G26" s="18" t="s">
        <v>133</v>
      </c>
      <c r="H26" s="18" t="s">
        <v>134</v>
      </c>
      <c r="I26" s="18" t="s">
        <v>135</v>
      </c>
      <c r="J26" s="18" t="s">
        <v>136</v>
      </c>
      <c r="K26" s="18" t="s">
        <v>137</v>
      </c>
      <c r="L26" s="18" t="s">
        <v>54</v>
      </c>
      <c r="M26" s="18" t="s">
        <v>91</v>
      </c>
      <c r="N26" s="18" t="s">
        <v>92</v>
      </c>
      <c r="O26" s="18" t="s">
        <v>93</v>
      </c>
      <c r="P26" s="18" t="s">
        <v>94</v>
      </c>
      <c r="Q26" s="18" t="s">
        <v>58</v>
      </c>
      <c r="R26" s="19">
        <f xml:space="preserve"> 0.0002* $R$1^2 - 0.0256* $R$1 + 1.8281</f>
        <v>1.3961000000000001</v>
      </c>
      <c r="S26" s="19">
        <f xml:space="preserve"> 0.0000175* $R$1^2 - 0.00284* $R$1 + 0.2162</f>
        <v>0.16639999999999999</v>
      </c>
      <c r="T26" s="19">
        <f xml:space="preserve"> 0.000816* $R$1^2 - 0.1189* $R$1 + 5.1234</f>
        <v>3.0718000000000001</v>
      </c>
      <c r="U26" s="19">
        <f xml:space="preserve"> 0.0000125* $R$1^2 - 0.000577* $R$1 + 0.288</f>
        <v>0.28145999999999999</v>
      </c>
      <c r="V26" s="34">
        <f>0.02113*$R$1^2 - 2.65*$R$1 + 148.91</f>
        <v>104.36199999999999</v>
      </c>
      <c r="W26" s="33">
        <f>2*'[1]DATOS SO2 Y CO2'!$B$30*'[1]FE COPERT 4'!W26</f>
        <v>6.2617200000000001E-3</v>
      </c>
      <c r="X26" s="19">
        <f>(44.011*(V26/(12.011+1.008*2)))-(R26/28.011)-(S26/13.85)-((U26*AZ26)/12.011)-((U26*AZ26*BA26)/13.85)</f>
        <v>327.36278611458818</v>
      </c>
      <c r="Y26" s="19">
        <v>28</v>
      </c>
      <c r="Z26" s="34">
        <v>0</v>
      </c>
      <c r="AA26" s="34">
        <v>1</v>
      </c>
      <c r="AB26" s="21">
        <f xml:space="preserve"> 0.0002* $AB$1^2 - 0.0256* $AB$1 + 1.8281</f>
        <v>1.0121000000000002</v>
      </c>
      <c r="AC26" s="21">
        <f xml:space="preserve"> 0.0000175* $AB$1^2 - 0.00284* $AB$1 + 0.2162</f>
        <v>0.10880000000000001</v>
      </c>
      <c r="AD26" s="21">
        <f xml:space="preserve"> 0.000816* $AB$1^2 - 0.1189* $AB$1 + 5.1234</f>
        <v>0.9269999999999996</v>
      </c>
      <c r="AE26" s="21">
        <f xml:space="preserve"> 0.0000125* $AB$1^2 - 0.000577* $AB$1 + 0.288</f>
        <v>0.29837999999999998</v>
      </c>
      <c r="AF26" s="21">
        <f>0.02113*$AB$1^2 - 2.65*$AB$1 + 148.91</f>
        <v>65.977999999999994</v>
      </c>
      <c r="AG26" s="21">
        <f>2*'[1]DATOS SO2 Y CO2'!$B$30*'[1]FE COPERT 4'!AG26</f>
        <v>3.95868E-3</v>
      </c>
      <c r="AH26" s="21">
        <f>(44.011*(AF26/(12.011+1.008*2)))-(AB26/28.011)-(AC26/13.85)-((AE26*AZ26)/12.011)-((AE26*AZ26*BA26)/13.85)</f>
        <v>206.94608556782993</v>
      </c>
      <c r="AI26" s="21">
        <v>12</v>
      </c>
      <c r="AJ26" s="21">
        <v>0</v>
      </c>
      <c r="AK26" s="21">
        <v>1</v>
      </c>
      <c r="AL26" s="22">
        <f xml:space="preserve"> 0.0002* $AL$1^2 - 0.0256* $AL$1 + 1.8281</f>
        <v>1.2681</v>
      </c>
      <c r="AM26" s="22">
        <f xml:space="preserve"> 0.0000175* $AL$1^2 - 0.00284* $AL$1 + 0.2162</f>
        <v>0.10719999999999996</v>
      </c>
      <c r="AN26" s="22">
        <f xml:space="preserve"> 0.000816* $AL$1^2 - 0.1189* $AL$1 + 5.1234</f>
        <v>1.3933999999999997</v>
      </c>
      <c r="AO26" s="22">
        <f xml:space="preserve"> 0.0000125* $AL$1^2 - 0.000577* $AL$1 + 0.288</f>
        <v>0.35529999999999995</v>
      </c>
      <c r="AP26" s="22">
        <f>0.02113*$AL$1^2 - 2.65*$AL$1 + 148.91</f>
        <v>95.20999999999998</v>
      </c>
      <c r="AQ26" s="32">
        <f>2*'[1]DATOS SO2 Y CO2'!$B$30*'[1]FE COPERT 4'!AQ26</f>
        <v>5.7125999999999991E-3</v>
      </c>
      <c r="AR26" s="19">
        <f>(44.011*(AP26/(12.011+1.008*2)))-(AL26/28.011)-(AM26/13.85)-((AO26*AZ26)/12.011)-((AO26*AZ26*BA26)/13.85)</f>
        <v>298.65095625317946</v>
      </c>
      <c r="AS26" s="22">
        <v>8</v>
      </c>
      <c r="AT26" s="22">
        <v>0</v>
      </c>
      <c r="AU26" s="22">
        <v>1</v>
      </c>
      <c r="AV26" s="4" t="s">
        <v>118</v>
      </c>
      <c r="AW26" s="4" t="s">
        <v>60</v>
      </c>
      <c r="AX26" s="4" t="s">
        <v>96</v>
      </c>
      <c r="AZ26" s="24">
        <f>+'[1]DATOS SO2 Y CO2'!$D$84</f>
        <v>0.55000000000000004</v>
      </c>
      <c r="BA26" s="24">
        <f>+'[1]DATOS SO2 Y CO2'!$E$84</f>
        <v>0.7</v>
      </c>
    </row>
    <row r="27" spans="1:53" ht="56.25">
      <c r="A27" s="1" t="s">
        <v>7</v>
      </c>
      <c r="B27" s="1" t="s">
        <v>157</v>
      </c>
      <c r="C27" s="1" t="s">
        <v>20</v>
      </c>
      <c r="D27" s="1" t="s">
        <v>6</v>
      </c>
      <c r="E27" s="18" t="s">
        <v>158</v>
      </c>
      <c r="F27" s="18" t="s">
        <v>139</v>
      </c>
      <c r="G27" s="18" t="s">
        <v>140</v>
      </c>
      <c r="H27" s="18" t="s">
        <v>141</v>
      </c>
      <c r="I27" s="18" t="s">
        <v>142</v>
      </c>
      <c r="J27" s="18" t="s">
        <v>143</v>
      </c>
      <c r="K27" s="18" t="s">
        <v>144</v>
      </c>
      <c r="L27" s="18" t="s">
        <v>54</v>
      </c>
      <c r="M27" s="18" t="s">
        <v>91</v>
      </c>
      <c r="N27" s="18" t="s">
        <v>101</v>
      </c>
      <c r="O27" s="18" t="s">
        <v>102</v>
      </c>
      <c r="P27" s="18" t="s">
        <v>94</v>
      </c>
      <c r="Q27" s="18" t="s">
        <v>58</v>
      </c>
      <c r="R27" s="19">
        <f xml:space="preserve"> 1.076 + - 0.026 * $R$1 + 0.000223 * $R$1^2</f>
        <v>0.6452</v>
      </c>
      <c r="S27" s="19">
        <f xml:space="preserve"> 0.2162 + - 0.00284 * $R$1 +0.0000175 * $R$1^2</f>
        <v>0.16639999999999999</v>
      </c>
      <c r="T27" s="19">
        <f xml:space="preserve"> 2.0247 + - 0.03181 * $R$1 +0.000241 * $R$1^2</f>
        <v>1.4849000000000001</v>
      </c>
      <c r="U27" s="19">
        <f xml:space="preserve"> 0.1932 + - 0.004885 * $R$1 + 0.000045 * $R$1^2</f>
        <v>0.11350000000000002</v>
      </c>
      <c r="V27" s="34">
        <f>0.0198*$R$1^2 - 2.506*$R$1 + 137.42</f>
        <v>95.22</v>
      </c>
      <c r="W27" s="33">
        <f>2*'[1]DATOS SO2 Y CO2'!$B$30*'[1]FE COPERT 4'!W27</f>
        <v>5.7131999999999999E-3</v>
      </c>
      <c r="X27" s="19">
        <f>(44.011*(V27/(12.011+1.008*2)))-(R27/28.011)-(S27/13.85)-((U27*AZ27)/12.011)-((U27*AZ27*BA27)/13.85)</f>
        <v>298.71753238039111</v>
      </c>
      <c r="Y27" s="19">
        <v>11</v>
      </c>
      <c r="Z27" s="34">
        <v>2</v>
      </c>
      <c r="AA27" s="34">
        <v>1</v>
      </c>
      <c r="AB27" s="21">
        <f xml:space="preserve"> 1.076 + - 0.026 * $AB$1 + 0.000223 * $AB$1^2</f>
        <v>0.31880000000000019</v>
      </c>
      <c r="AC27" s="21">
        <f xml:space="preserve"> 0.2162 + - 0.00284 * $AB$1 +0.0000175 * $AB$1^2</f>
        <v>0.10880000000000001</v>
      </c>
      <c r="AD27" s="21">
        <f xml:space="preserve"> 2.0247 + - 0.03181 * $AB$1 +0.000241 * $AB$1^2</f>
        <v>0.98370000000000035</v>
      </c>
      <c r="AE27" s="21">
        <f xml:space="preserve"> 0.1932 + - 0.004885 * $AB$1 + 0.000045 * $AB$1^2</f>
        <v>6.2100000000000044E-2</v>
      </c>
      <c r="AF27" s="21">
        <f>0.0198*$AB$1^2 - 2.506*$AB$1 + 137.42</f>
        <v>58.34</v>
      </c>
      <c r="AG27" s="21">
        <f>2*'[1]DATOS SO2 Y CO2'!$B$30*'[1]FE COPERT 4'!AG27</f>
        <v>3.5004000000000003E-3</v>
      </c>
      <c r="AH27" s="21">
        <f>(44.011*(AF27/(12.011+1.008*2)))-(AB27/28.011)-(AC27/13.85)-((AE27*AZ27)/12.011)-((AE27*AZ27*BA27)/13.85)</f>
        <v>183.02299339675031</v>
      </c>
      <c r="AI27" s="21">
        <v>9</v>
      </c>
      <c r="AJ27" s="21">
        <v>4</v>
      </c>
      <c r="AK27" s="21">
        <v>1</v>
      </c>
      <c r="AL27" s="22">
        <f xml:space="preserve"> 1.076 + - 0.026 * $AL$1 + 0.000223 * $AL$1^2</f>
        <v>0.70599999999999996</v>
      </c>
      <c r="AM27" s="22">
        <f xml:space="preserve"> 0.2162 + - 0.00284 * $AL$1 +0.0000175 * $AL$1^2</f>
        <v>0.10719999999999996</v>
      </c>
      <c r="AN27" s="22">
        <f xml:space="preserve"> 2.0247 + - 0.03181 * $AL$1 +0.000241 * $AL$1^2</f>
        <v>1.2537000000000007</v>
      </c>
      <c r="AO27" s="22">
        <f xml:space="preserve"> 0.1932 + - 0.004885 * $AL$1 + 0.000045 * $AL$1^2</f>
        <v>0.15470000000000012</v>
      </c>
      <c r="AP27" s="22">
        <f>0.0198*$AL$1^2 - 2.506*$AL$1 + 137.42</f>
        <v>84.82000000000005</v>
      </c>
      <c r="AQ27" s="32">
        <f>2*'[1]DATOS SO2 Y CO2'!$B$30*'[1]FE COPERT 4'!AQ27</f>
        <v>5.0892000000000029E-3</v>
      </c>
      <c r="AR27" s="19">
        <f>(44.011*(AP27/(12.011+1.008*2)))-(AL27/28.011)-(AM27/13.85)-((AO27*AZ27)/12.011)-((AO27*AZ27*BA27)/13.85)</f>
        <v>266.08544752871296</v>
      </c>
      <c r="AS27" s="22">
        <v>3</v>
      </c>
      <c r="AT27" s="22">
        <v>4</v>
      </c>
      <c r="AU27" s="22">
        <v>1</v>
      </c>
      <c r="AV27" s="4" t="s">
        <v>118</v>
      </c>
      <c r="AW27" s="4" t="s">
        <v>60</v>
      </c>
      <c r="AX27" s="4" t="s">
        <v>96</v>
      </c>
      <c r="AZ27" s="24">
        <f>+'[1]DATOS SO2 Y CO2'!$D$85</f>
        <v>0.7</v>
      </c>
      <c r="BA27" s="24">
        <f>+'[1]DATOS SO2 Y CO2'!$E$85</f>
        <v>0.4</v>
      </c>
    </row>
    <row r="28" spans="1:53" ht="56.25">
      <c r="A28" s="1" t="s">
        <v>7</v>
      </c>
      <c r="B28" s="1" t="s">
        <v>157</v>
      </c>
      <c r="C28" s="1" t="s">
        <v>20</v>
      </c>
      <c r="D28" s="1" t="s">
        <v>2</v>
      </c>
      <c r="E28" s="18" t="s">
        <v>145</v>
      </c>
      <c r="F28" s="18" t="s">
        <v>146</v>
      </c>
      <c r="G28" s="18" t="s">
        <v>147</v>
      </c>
      <c r="H28" s="18" t="s">
        <v>148</v>
      </c>
      <c r="I28" s="18" t="s">
        <v>149</v>
      </c>
      <c r="J28" s="18" t="s">
        <v>150</v>
      </c>
      <c r="K28" s="18" t="s">
        <v>144</v>
      </c>
      <c r="L28" s="18" t="s">
        <v>54</v>
      </c>
      <c r="M28" s="18" t="s">
        <v>91</v>
      </c>
      <c r="N28" s="18" t="s">
        <v>106</v>
      </c>
      <c r="O28" s="18" t="s">
        <v>107</v>
      </c>
      <c r="P28" s="18" t="s">
        <v>94</v>
      </c>
      <c r="Q28" s="18" t="s">
        <v>58</v>
      </c>
      <c r="R28" s="19">
        <f xml:space="preserve"> (1.076 + - 0.026 * $R$1 + 0.000223 * $R$1^2) * (1- 0.18)</f>
        <v>0.52906400000000009</v>
      </c>
      <c r="S28" s="19">
        <f xml:space="preserve"> (0.2162 + - 0.00284* $R$1 +0.0000175* $R$1^2)* (1- 0.38)</f>
        <v>0.103168</v>
      </c>
      <c r="T28" s="19">
        <f xml:space="preserve"> (2.0247 + - 0.03181 * $R$1 +0.000241 * $R$1^2) * (1-0.16 )</f>
        <v>1.2473160000000001</v>
      </c>
      <c r="U28" s="19">
        <f xml:space="preserve"> (0.1932 + - 0.004885 * $R$1 + 0.000045 * $R$1^2) * (1-0.33)</f>
        <v>7.6045000000000001E-2</v>
      </c>
      <c r="V28" s="34">
        <f>0.0198*$R$1^2 - 2.506*$R$1 + 137.42</f>
        <v>95.22</v>
      </c>
      <c r="W28" s="33">
        <f>2*'[1]DATOS SO2 Y CO2'!$B$30*'[1]FE COPERT 4'!W28</f>
        <v>5.7131999999999999E-3</v>
      </c>
      <c r="X28" s="19">
        <f>(44.011*(V28/(12.011+1.008*2)))-(R28/28.011)-(S28/13.85)-((U28*AZ28)/12.011)-((U28*AZ28*BA28)/13.85)</f>
        <v>298.72907166689367</v>
      </c>
      <c r="Y28" s="19">
        <v>3</v>
      </c>
      <c r="Z28" s="34">
        <v>9</v>
      </c>
      <c r="AA28" s="34">
        <v>1</v>
      </c>
      <c r="AB28" s="21">
        <f xml:space="preserve"> (1.076 + - 0.026 * $AB$1 + 0.000223 * $AB$1^2) * (1- 0.18)</f>
        <v>0.2614160000000002</v>
      </c>
      <c r="AC28" s="21">
        <f xml:space="preserve"> (0.2162 + - 0.00284* $AB$1 +0.0000175* $AB$1^2)* (1- 0.38)</f>
        <v>6.7456000000000002E-2</v>
      </c>
      <c r="AD28" s="21">
        <f xml:space="preserve"> (2.0247 + - 0.03181 * $AB$1 +0.000241 * $AB$1^2) * (1-0.16 )</f>
        <v>0.82630800000000026</v>
      </c>
      <c r="AE28" s="21">
        <f xml:space="preserve"> (0.1932 + - 0.004885 * $AB$1 + 0.000045 * $AB$1^2) * (1-0.33)</f>
        <v>4.1607000000000026E-2</v>
      </c>
      <c r="AF28" s="21">
        <f>0.0198*$AB$1^2 - 2.506*$AB$1 + 137.42</f>
        <v>58.34</v>
      </c>
      <c r="AG28" s="21">
        <f>2*'[1]DATOS SO2 Y CO2'!$B$30*'[1]FE COPERT 4'!AG28</f>
        <v>3.5004000000000003E-3</v>
      </c>
      <c r="AH28" s="21">
        <f>(44.011*(AF28/(12.011+1.008*2)))-(AB28/28.011)-(AC28/13.85)-((AE28*AZ28)/12.011)-((AE28*AZ28*BA28)/13.85)</f>
        <v>183.02957429240092</v>
      </c>
      <c r="AI28" s="21">
        <v>0</v>
      </c>
      <c r="AJ28" s="21">
        <v>4</v>
      </c>
      <c r="AK28" s="21">
        <v>1</v>
      </c>
      <c r="AL28" s="22">
        <f xml:space="preserve"> (1.076 + - 0.026 * $AL$1 + 0.000223 * $AL$1^2) * (1- 0.18)</f>
        <v>0.57891999999999999</v>
      </c>
      <c r="AM28" s="22">
        <f xml:space="preserve"> (0.2162 + - 0.00284* $AL$1 +0.0000175* $AL$1^2)* (1- 0.38)</f>
        <v>6.6463999999999981E-2</v>
      </c>
      <c r="AN28" s="22">
        <f xml:space="preserve"> (2.0247 + - 0.03181 * $AL$1 +0.000241 * $AL$1^2) * (1-0.16 )</f>
        <v>1.0531080000000006</v>
      </c>
      <c r="AO28" s="22">
        <f xml:space="preserve"> (0.1932 + - 0.004885 * $AL$1 + 0.000045 * $AL$1^2) * (1-0.33)</f>
        <v>0.10364900000000006</v>
      </c>
      <c r="AP28" s="22">
        <f>0.0198*$AL$1^2 - 2.506*$AL$1 + 137.42</f>
        <v>84.82000000000005</v>
      </c>
      <c r="AQ28" s="32">
        <f>2*'[1]DATOS SO2 Y CO2'!$B$30*'[1]FE COPERT 4'!AQ28</f>
        <v>5.0892000000000029E-3</v>
      </c>
      <c r="AR28" s="19">
        <f>(44.011*(AP28/(12.011+1.008*2)))-(AL28/28.011)-(AM28/13.85)-((AO28*AZ28)/12.011)-((AO28*AZ28*BA28)/13.85)</f>
        <v>266.09677970654576</v>
      </c>
      <c r="AS28" s="22">
        <v>0</v>
      </c>
      <c r="AT28" s="22">
        <v>4</v>
      </c>
      <c r="AU28" s="22">
        <v>1</v>
      </c>
      <c r="AV28" s="4" t="s">
        <v>131</v>
      </c>
      <c r="AW28" s="4" t="s">
        <v>60</v>
      </c>
      <c r="AX28" s="4" t="s">
        <v>96</v>
      </c>
      <c r="AZ28" s="24">
        <f>+'[1]DATOS SO2 Y CO2'!$D$86</f>
        <v>0.85</v>
      </c>
      <c r="BA28" s="24">
        <f>+'[1]DATOS SO2 Y CO2'!$E$86</f>
        <v>0.15</v>
      </c>
    </row>
    <row r="29" spans="1:53" ht="56.25">
      <c r="A29" s="1" t="s">
        <v>8</v>
      </c>
      <c r="B29" s="1" t="s">
        <v>159</v>
      </c>
      <c r="C29" s="1" t="s">
        <v>19</v>
      </c>
      <c r="D29" s="1" t="s">
        <v>3</v>
      </c>
      <c r="E29" s="18" t="s">
        <v>160</v>
      </c>
      <c r="F29" s="18" t="s">
        <v>161</v>
      </c>
      <c r="G29" s="18" t="s">
        <v>162</v>
      </c>
      <c r="H29" s="18" t="s">
        <v>163</v>
      </c>
      <c r="I29" s="18" t="s">
        <v>164</v>
      </c>
      <c r="J29" s="18" t="s">
        <v>52</v>
      </c>
      <c r="K29" s="18" t="s">
        <v>165</v>
      </c>
      <c r="L29" s="18" t="s">
        <v>54</v>
      </c>
      <c r="M29" s="18" t="s">
        <v>55</v>
      </c>
      <c r="N29" s="18" t="s">
        <v>166</v>
      </c>
      <c r="O29" s="18" t="s">
        <v>167</v>
      </c>
      <c r="P29" s="18" t="s">
        <v>168</v>
      </c>
      <c r="Q29" s="18" t="s">
        <v>58</v>
      </c>
      <c r="R29" s="19">
        <v>70</v>
      </c>
      <c r="S29" s="19">
        <v>7</v>
      </c>
      <c r="T29" s="19">
        <v>4.5</v>
      </c>
      <c r="U29" s="19"/>
      <c r="V29" s="19">
        <v>225</v>
      </c>
      <c r="W29" s="33">
        <f>2*'[1]DATOS SO2 Y CO2'!$B$30*'[1]FE COPERT 4'!W29</f>
        <v>1.35E-2</v>
      </c>
      <c r="X29" s="19">
        <f>(44.011*(V29/(12.011+1.008*1.8)))-(R29/28.011)-(S29/13.85)-((U29*AZ29)/12.011)-((AZ29*U29*BA29)/13.85)</f>
        <v>713.24789925778168</v>
      </c>
      <c r="Y29" s="19">
        <v>140</v>
      </c>
      <c r="Z29" s="19">
        <v>6</v>
      </c>
      <c r="AA29" s="19">
        <v>2</v>
      </c>
      <c r="AB29" s="21">
        <v>55</v>
      </c>
      <c r="AC29" s="21">
        <v>5.5</v>
      </c>
      <c r="AD29" s="21">
        <v>7.5</v>
      </c>
      <c r="AE29" s="21"/>
      <c r="AF29" s="21">
        <v>150</v>
      </c>
      <c r="AG29" s="21">
        <f>2*'[1]DATOS SO2 Y CO2'!$B$30*'[1]FE COPERT 4'!AG29</f>
        <v>9.0000000000000011E-3</v>
      </c>
      <c r="AH29" s="21">
        <f>(44.011*(AF29/(12.011+1.008*1.8)))-(AB29/28.011)-(AC29/13.85)-((AE29*AZ29)/12.011)-((AZ29*AE29*BA29)/13.85)</f>
        <v>475.14092886170101</v>
      </c>
      <c r="AI29" s="21">
        <v>110</v>
      </c>
      <c r="AJ29" s="21">
        <v>6</v>
      </c>
      <c r="AK29" s="21">
        <v>2</v>
      </c>
      <c r="AL29" s="22">
        <v>55</v>
      </c>
      <c r="AM29" s="22">
        <v>3.5</v>
      </c>
      <c r="AN29" s="22">
        <v>7.5</v>
      </c>
      <c r="AO29" s="22"/>
      <c r="AP29" s="22">
        <v>165</v>
      </c>
      <c r="AQ29" s="32">
        <f>2*'[1]DATOS SO2 Y CO2'!$B$30*'[1]FE COPERT 4'!AQ29</f>
        <v>9.9000000000000008E-3</v>
      </c>
      <c r="AR29" s="19">
        <f>(44.011*(AP29/(12.011+1.008*1.8)))-(AL29/28.011)-(AM29/13.85)-((AO29*AZ29)/12.011)-((AZ29*AO29*BA29)/13.85)</f>
        <v>523.03548870470229</v>
      </c>
      <c r="AS29" s="22">
        <v>70</v>
      </c>
      <c r="AT29" s="22">
        <v>6</v>
      </c>
      <c r="AU29" s="22">
        <v>2</v>
      </c>
      <c r="AV29" s="4" t="s">
        <v>169</v>
      </c>
      <c r="AW29" s="4" t="s">
        <v>60</v>
      </c>
      <c r="AX29" s="4" t="s">
        <v>170</v>
      </c>
      <c r="AZ29" s="4">
        <v>0</v>
      </c>
      <c r="BA29" s="4">
        <v>0</v>
      </c>
    </row>
    <row r="30" spans="1:53" ht="56.25">
      <c r="A30" s="1" t="s">
        <v>8</v>
      </c>
      <c r="B30" s="1" t="s">
        <v>159</v>
      </c>
      <c r="C30" s="1" t="s">
        <v>19</v>
      </c>
      <c r="D30" s="1" t="s">
        <v>9</v>
      </c>
      <c r="E30" s="18" t="s">
        <v>160</v>
      </c>
      <c r="F30" s="18" t="s">
        <v>161</v>
      </c>
      <c r="G30" s="18" t="s">
        <v>162</v>
      </c>
      <c r="H30" s="18" t="s">
        <v>163</v>
      </c>
      <c r="I30" s="18" t="s">
        <v>164</v>
      </c>
      <c r="J30" s="18" t="s">
        <v>52</v>
      </c>
      <c r="K30" s="18" t="s">
        <v>165</v>
      </c>
      <c r="L30" s="18" t="s">
        <v>54</v>
      </c>
      <c r="M30" s="18" t="s">
        <v>55</v>
      </c>
      <c r="N30" s="18" t="s">
        <v>166</v>
      </c>
      <c r="O30" s="18" t="s">
        <v>167</v>
      </c>
      <c r="P30" s="18" t="s">
        <v>168</v>
      </c>
      <c r="Q30" s="18" t="s">
        <v>58</v>
      </c>
      <c r="R30" s="19">
        <v>70</v>
      </c>
      <c r="S30" s="19">
        <v>7</v>
      </c>
      <c r="T30" s="19">
        <v>4.5</v>
      </c>
      <c r="U30" s="19"/>
      <c r="V30" s="19">
        <v>225</v>
      </c>
      <c r="W30" s="33">
        <f>2*'[1]DATOS SO2 Y CO2'!$B$30*'[1]FE COPERT 4'!W30</f>
        <v>1.35E-2</v>
      </c>
      <c r="X30" s="19">
        <f>(44.011*(V30/(12.011+1.008*1.8)))-(R30/28.011)-(S30/13.85)-((U30*AZ30)/12.011)-((AZ30*U30*BA30)/13.85)</f>
        <v>713.24789925778168</v>
      </c>
      <c r="Y30" s="19">
        <v>140</v>
      </c>
      <c r="Z30" s="19">
        <v>6</v>
      </c>
      <c r="AA30" s="19">
        <v>2</v>
      </c>
      <c r="AB30" s="21">
        <v>55</v>
      </c>
      <c r="AC30" s="21">
        <v>5.5</v>
      </c>
      <c r="AD30" s="21">
        <v>7.5</v>
      </c>
      <c r="AE30" s="21"/>
      <c r="AF30" s="21">
        <v>150</v>
      </c>
      <c r="AG30" s="21">
        <f>2*'[1]DATOS SO2 Y CO2'!$B$30*'[1]FE COPERT 4'!AG30</f>
        <v>9.0000000000000011E-3</v>
      </c>
      <c r="AH30" s="21">
        <f>(44.011*(AF30/(12.011+1.008*1.8)))-(AB30/28.011)-(AC30/13.85)-((AE30*AZ30)/12.011)-((AZ30*AE30*BA30)/13.85)</f>
        <v>475.14092886170101</v>
      </c>
      <c r="AI30" s="21">
        <v>110</v>
      </c>
      <c r="AJ30" s="21">
        <v>6</v>
      </c>
      <c r="AK30" s="21">
        <v>2</v>
      </c>
      <c r="AL30" s="22">
        <v>55</v>
      </c>
      <c r="AM30" s="22">
        <v>3.5</v>
      </c>
      <c r="AN30" s="22">
        <v>7.5</v>
      </c>
      <c r="AO30" s="22"/>
      <c r="AP30" s="22">
        <v>165</v>
      </c>
      <c r="AQ30" s="32">
        <f>2*'[1]DATOS SO2 Y CO2'!$B$30*'[1]FE COPERT 4'!AQ30</f>
        <v>9.9000000000000008E-3</v>
      </c>
      <c r="AR30" s="19">
        <f>(44.011*(AP30/(12.011+1.008*1.8)))-(AL30/28.011)-(AM30/13.85)-((AO30*AZ30)/12.011)-((AZ30*AO30*BA30)/13.85)</f>
        <v>523.03548870470229</v>
      </c>
      <c r="AS30" s="22">
        <v>70</v>
      </c>
      <c r="AT30" s="22">
        <v>6</v>
      </c>
      <c r="AU30" s="22">
        <v>2</v>
      </c>
      <c r="AV30" s="4" t="s">
        <v>169</v>
      </c>
      <c r="AW30" s="4" t="s">
        <v>60</v>
      </c>
      <c r="AX30" s="4" t="s">
        <v>170</v>
      </c>
      <c r="AZ30" s="4">
        <v>0</v>
      </c>
      <c r="BA30" s="4">
        <v>0</v>
      </c>
    </row>
    <row r="31" spans="1:53" ht="56.25">
      <c r="A31" s="1" t="s">
        <v>8</v>
      </c>
      <c r="B31" s="1" t="s">
        <v>159</v>
      </c>
      <c r="C31" s="1" t="s">
        <v>19</v>
      </c>
      <c r="D31" s="1" t="s">
        <v>10</v>
      </c>
      <c r="E31" s="18" t="s">
        <v>160</v>
      </c>
      <c r="F31" s="18" t="s">
        <v>161</v>
      </c>
      <c r="G31" s="18" t="s">
        <v>162</v>
      </c>
      <c r="H31" s="18" t="s">
        <v>163</v>
      </c>
      <c r="I31" s="18" t="s">
        <v>164</v>
      </c>
      <c r="J31" s="18" t="s">
        <v>52</v>
      </c>
      <c r="K31" s="18" t="s">
        <v>165</v>
      </c>
      <c r="L31" s="18" t="s">
        <v>54</v>
      </c>
      <c r="M31" s="18" t="s">
        <v>55</v>
      </c>
      <c r="N31" s="18" t="s">
        <v>166</v>
      </c>
      <c r="O31" s="18" t="s">
        <v>167</v>
      </c>
      <c r="P31" s="18" t="s">
        <v>168</v>
      </c>
      <c r="Q31" s="18" t="s">
        <v>58</v>
      </c>
      <c r="R31" s="19">
        <v>70</v>
      </c>
      <c r="S31" s="19">
        <v>7</v>
      </c>
      <c r="T31" s="19">
        <v>4.5</v>
      </c>
      <c r="U31" s="19"/>
      <c r="V31" s="19">
        <v>225</v>
      </c>
      <c r="W31" s="33">
        <f>2*'[1]DATOS SO2 Y CO2'!$B$30*'[1]FE COPERT 4'!W31</f>
        <v>1.35E-2</v>
      </c>
      <c r="X31" s="19">
        <f>(44.011*(V31/(12.011+1.008*1.8)))-(R31/28.011)-(S31/13.85)-((U31*AZ31)/12.011)-((AZ31*U31*BA31)/13.85)</f>
        <v>713.24789925778168</v>
      </c>
      <c r="Y31" s="19">
        <v>140</v>
      </c>
      <c r="Z31" s="19">
        <v>6</v>
      </c>
      <c r="AA31" s="19">
        <v>2</v>
      </c>
      <c r="AB31" s="21">
        <v>55</v>
      </c>
      <c r="AC31" s="21">
        <v>5.5</v>
      </c>
      <c r="AD31" s="21">
        <v>7.5</v>
      </c>
      <c r="AE31" s="21"/>
      <c r="AF31" s="21">
        <v>150</v>
      </c>
      <c r="AG31" s="21">
        <f>2*'[1]DATOS SO2 Y CO2'!$B$30*'[1]FE COPERT 4'!AG31</f>
        <v>9.0000000000000011E-3</v>
      </c>
      <c r="AH31" s="21">
        <f>(44.011*(AF31/(12.011+1.008*1.8)))-(AB31/28.011)-(AC31/13.85)-((AE31*AZ31)/12.011)-((AZ31*AE31*BA31)/13.85)</f>
        <v>475.14092886170101</v>
      </c>
      <c r="AI31" s="21">
        <v>110</v>
      </c>
      <c r="AJ31" s="21">
        <v>6</v>
      </c>
      <c r="AK31" s="21">
        <v>2</v>
      </c>
      <c r="AL31" s="22">
        <v>55</v>
      </c>
      <c r="AM31" s="22">
        <v>3.5</v>
      </c>
      <c r="AN31" s="22">
        <v>7.5</v>
      </c>
      <c r="AO31" s="22"/>
      <c r="AP31" s="22">
        <v>165</v>
      </c>
      <c r="AQ31" s="32">
        <f>2*'[1]DATOS SO2 Y CO2'!$B$30*'[1]FE COPERT 4'!AQ31</f>
        <v>9.9000000000000008E-3</v>
      </c>
      <c r="AR31" s="19">
        <f>(44.011*(AP31/(12.011+1.008*1.8)))-(AL31/28.011)-(AM31/13.85)-((AO31*AZ31)/12.011)-((AZ31*AO31*BA31)/13.85)</f>
        <v>523.03548870470229</v>
      </c>
      <c r="AS31" s="22">
        <v>70</v>
      </c>
      <c r="AT31" s="22">
        <v>6</v>
      </c>
      <c r="AU31" s="22">
        <v>2</v>
      </c>
      <c r="AV31" s="4" t="s">
        <v>169</v>
      </c>
      <c r="AW31" s="4" t="s">
        <v>60</v>
      </c>
      <c r="AX31" s="4" t="s">
        <v>170</v>
      </c>
      <c r="AZ31" s="4">
        <v>0</v>
      </c>
      <c r="BA31" s="4">
        <v>0</v>
      </c>
    </row>
    <row r="32" spans="1:53" ht="56.25">
      <c r="A32" s="1" t="s">
        <v>8</v>
      </c>
      <c r="B32" s="1" t="s">
        <v>159</v>
      </c>
      <c r="C32" s="1" t="s">
        <v>20</v>
      </c>
      <c r="D32" s="1" t="s">
        <v>3</v>
      </c>
      <c r="E32" s="18" t="s">
        <v>171</v>
      </c>
      <c r="F32" s="18" t="s">
        <v>172</v>
      </c>
      <c r="G32" s="18" t="s">
        <v>173</v>
      </c>
      <c r="H32" s="18" t="s">
        <v>174</v>
      </c>
      <c r="I32" s="18" t="s">
        <v>175</v>
      </c>
      <c r="J32" s="18" t="s">
        <v>176</v>
      </c>
      <c r="K32" s="38" t="s">
        <v>177</v>
      </c>
      <c r="L32" s="18" t="s">
        <v>54</v>
      </c>
      <c r="M32" s="18" t="s">
        <v>91</v>
      </c>
      <c r="N32" s="18" t="s">
        <v>178</v>
      </c>
      <c r="O32" s="18"/>
      <c r="P32" s="18" t="s">
        <v>179</v>
      </c>
      <c r="Q32" s="18" t="s">
        <v>58</v>
      </c>
      <c r="R32" s="19">
        <f>($D$70+($E$70/(1+EXP((((-1)*$F$70)+($G$70*LN($R$1)))+($H$70*$R$1)))))</f>
        <v>3.1592069348349958</v>
      </c>
      <c r="S32" s="19">
        <f>(1/((($F$71*($R$1^2))+($E$71*$R$1))+$D$71))</f>
        <v>2.276386926864673</v>
      </c>
      <c r="T32" s="19">
        <f>(($D$72+($E$72*$R$1))+((($F$72-$E$72)*(1-EXP(((-1)*$G$72)*$R$1)))/$G$72))</f>
        <v>5.4341285110388773</v>
      </c>
      <c r="U32" s="19">
        <f>(($H$73+($D$73*EXP(((-1)*$E$73)*$R$1)))+($F$73*EXP(((-1)*$G$73)*$R$1)))</f>
        <v>0.56553385477297535</v>
      </c>
      <c r="V32" s="19">
        <f>(1/((($F$180*($R$1^2))+($E$180*$R$1))+$D$180))</f>
        <v>163.91830311772611</v>
      </c>
      <c r="W32" s="33">
        <f>2*'[1]DATOS SO2 Y CO2'!$B$30*'[1]FE COPERT 4'!W32</f>
        <v>9.8350981870635665E-3</v>
      </c>
      <c r="X32" s="19">
        <f>(44.011*(V32/(12.011+1.008*2)))-(R32/28.011)-(S32/13.85)-((U32*AZ32)/12.011)-((U32*AZ32*BA32)/13.85)</f>
        <v>513.99170162930034</v>
      </c>
      <c r="Y32" s="19">
        <v>85</v>
      </c>
      <c r="Z32" s="19"/>
      <c r="AA32" s="19">
        <v>3</v>
      </c>
      <c r="AB32" s="21">
        <f>($D$70+($E$70/(1+EXP((((-1)*$F$70)+($G$70*LN($AB$1)))+($H$70*$AB$1)))))</f>
        <v>1.5401303511034805</v>
      </c>
      <c r="AC32" s="21">
        <f>(1/((($F$71*($AB$1^2))+($E$71*$AB$1))+$D$71))</f>
        <v>0.86545909562934409</v>
      </c>
      <c r="AD32" s="21">
        <f>(($D$72+($E$72*$AB$1))+((($F$72-$E$72)*(1-EXP(((-1)*$G$72)*$AB$1)))/$G$72))</f>
        <v>4.3505366050209506</v>
      </c>
      <c r="AE32" s="21">
        <f>(($H$73+($D$73*EXP(((-1)*$E$73)*$AB$1)))+($F$73*EXP(((-1)*$G$73)*$AB$1)))</f>
        <v>0.27814133272768438</v>
      </c>
      <c r="AF32" s="21">
        <f>(1/((($F$180*($AB$1^2))+($E$180*$AB$1))+$D$180))</f>
        <v>109.59384520965303</v>
      </c>
      <c r="AG32" s="21">
        <f>2*'[1]DATOS SO2 Y CO2'!$B$30*'[1]FE COPERT 4'!AG32</f>
        <v>6.5756307125791813E-3</v>
      </c>
      <c r="AH32" s="21">
        <f>(44.011*(AF32/(12.011+1.008*2)))-(AB32/28.011)-(AC32/13.85)-((AE32*AZ32)/12.011)-((AE32*AZ32*BA32)/13.85)</f>
        <v>343.72366601745711</v>
      </c>
      <c r="AI32" s="21">
        <v>23</v>
      </c>
      <c r="AJ32" s="21"/>
      <c r="AK32" s="21">
        <v>3</v>
      </c>
      <c r="AL32" s="22">
        <f>($D$70+($E$70/(1+EXP((((-1)*$F$70)+($G$70*LN($AL$1)))+($H$70*$AL$1)))))</f>
        <v>1.3578297629727683</v>
      </c>
      <c r="AM32" s="22">
        <f>(1/((($F$71*($AL$1^2))+($E$71*$AL$1))+$D$71))</f>
        <v>0.51190433793827628</v>
      </c>
      <c r="AN32" s="22">
        <f>(($D$72+($E$72*$AL$1))+((($F$72-$E$72)*(1-EXP(((-1)*$G$72)*$AL$1)))/$G$72))</f>
        <v>5.6395292261924244</v>
      </c>
      <c r="AO32" s="22">
        <f>(($H$73+($D$73*EXP(((-1)*$E$73)*$AL$1)))+($F$73*EXP(((-1)*$G$73)*$AL$1)))</f>
        <v>0.24984797486059132</v>
      </c>
      <c r="AP32" s="22">
        <f>(1/((($F$180*($AL$1^2))+($E$180*$AL$1))+$D$180))</f>
        <v>164.7826516824309</v>
      </c>
      <c r="AQ32" s="32">
        <f>2*'[1]DATOS SO2 Y CO2'!$B$30*'[1]FE COPERT 4'!AQ32</f>
        <v>9.8869591009458548E-3</v>
      </c>
      <c r="AR32" s="19">
        <f>(44.011*(AP32/(12.011+1.008*2)))-(AL32/28.011)-(AM32/13.85)-((AO32*AZ32)/12.011)-((AO32*AZ32*BA32)/13.85)</f>
        <v>516.91764250031042</v>
      </c>
      <c r="AS32" s="22">
        <v>20</v>
      </c>
      <c r="AT32" s="22"/>
      <c r="AU32" s="22">
        <v>3</v>
      </c>
      <c r="AV32" s="4" t="s">
        <v>180</v>
      </c>
      <c r="AW32" s="4" t="s">
        <v>60</v>
      </c>
      <c r="AX32" s="4" t="s">
        <v>181</v>
      </c>
      <c r="AZ32" s="24">
        <f>+'[1]DATOS SO2 Y CO2'!$D$88</f>
        <v>0.5</v>
      </c>
      <c r="BA32" s="24">
        <f>+'[1]DATOS SO2 Y CO2'!$E$88</f>
        <v>0.8</v>
      </c>
    </row>
    <row r="33" spans="1:53" ht="56.25">
      <c r="A33" s="1" t="s">
        <v>8</v>
      </c>
      <c r="B33" s="1" t="s">
        <v>159</v>
      </c>
      <c r="C33" s="1" t="s">
        <v>20</v>
      </c>
      <c r="D33" s="1" t="s">
        <v>11</v>
      </c>
      <c r="E33" s="18" t="s">
        <v>182</v>
      </c>
      <c r="F33" s="18" t="s">
        <v>183</v>
      </c>
      <c r="G33" s="18" t="s">
        <v>175</v>
      </c>
      <c r="H33" s="18" t="s">
        <v>176</v>
      </c>
      <c r="I33" s="18" t="s">
        <v>175</v>
      </c>
      <c r="J33" s="18" t="s">
        <v>173</v>
      </c>
      <c r="K33" s="18" t="s">
        <v>184</v>
      </c>
      <c r="L33" s="18" t="s">
        <v>54</v>
      </c>
      <c r="M33" s="18" t="s">
        <v>91</v>
      </c>
      <c r="N33" s="18" t="s">
        <v>178</v>
      </c>
      <c r="O33" s="18"/>
      <c r="P33" s="18" t="s">
        <v>179</v>
      </c>
      <c r="Q33" s="18" t="s">
        <v>58</v>
      </c>
      <c r="R33" s="19">
        <f>(($D$74+($E$74*$R$1))+((($F$74-$E$74)*(1-EXP(((-1)*$G$74)*$R$1)))/$G$74))</f>
        <v>1.1183088145834585</v>
      </c>
      <c r="S33" s="19">
        <f>(($H$75+($D$75*EXP(((-1)*$E$75)*$R$1)))+($F$75*EXP(((-1)*$G$75)*$R$1)))</f>
        <v>0.43267993499223678</v>
      </c>
      <c r="T33" s="19">
        <f>(($D$76+($E$76*$R$1))+((($F$76-$E$76)*(1-EXP(((-1)*$G$76)*$R$1)))/$G$76))</f>
        <v>3.8214463965558769</v>
      </c>
      <c r="U33" s="19">
        <f>($D$77+($E$77/(1+EXP((((-1)*$F$77)+($G$77*LN($R$1)))+($H$77*$R$1)))))</f>
        <v>0.22290845587509278</v>
      </c>
      <c r="V33" s="19">
        <f>(($D$181*($R$1^$E$181))+($F$181*($R$1^$G$181)))</f>
        <v>125.51668140973931</v>
      </c>
      <c r="W33" s="33">
        <f>2*'[1]DATOS SO2 Y CO2'!$B$30*'[1]FE COPERT 4'!W33</f>
        <v>7.5310008845843584E-3</v>
      </c>
      <c r="X33" s="19">
        <f>(44.011*(V33/(12.011+1.008*2)))-(R33/28.011)-(S33/13.85)-((U33*AZ33)/12.011)-((U33*AZ33*BA33)/13.85)</f>
        <v>393.73269669840442</v>
      </c>
      <c r="Y33" s="19">
        <v>85</v>
      </c>
      <c r="Z33" s="19"/>
      <c r="AA33" s="19">
        <v>3</v>
      </c>
      <c r="AB33" s="21">
        <f>(($D$74+($E$74*$AB$1))+((($F$74-$E$74)*(1-EXP(((-1)*$G$74)*$AB$1)))/$G$74))</f>
        <v>0.52845752194931706</v>
      </c>
      <c r="AC33" s="21">
        <f>(($H$75+($D$75*EXP(((-1)*$E$75)*$AB$1)))+($F$75*EXP(((-1)*$G$75)*$AB$1)))</f>
        <v>0.1850377100075494</v>
      </c>
      <c r="AD33" s="21">
        <f>(($D$76+($E$76*$AB$1))+((($F$76-$E$76)*(1-EXP(((-1)*$G$76)*$AB$1)))/$G$76))</f>
        <v>3.1622639637744703</v>
      </c>
      <c r="AE33" s="21">
        <f>($D$77+($E$77/(1+EXP((((-1)*$F$77)+($G$77*LN($AB$1)))+($H$77*$AB$1)))))</f>
        <v>0.10749712646215484</v>
      </c>
      <c r="AF33" s="21">
        <f>(($D$181*($AB$1^$E$181))+($F$181*($AB$1^$G$181)))</f>
        <v>94.977598605663644</v>
      </c>
      <c r="AG33" s="21">
        <f>2*'[1]DATOS SO2 Y CO2'!$B$30*'[1]FE COPERT 4'!AG33</f>
        <v>5.6986559163398186E-3</v>
      </c>
      <c r="AH33" s="21">
        <f>(44.011*(AF33/(12.011+1.008*2)))-(AB33/28.011)-(AC33/13.85)-((AE33*AZ33)/12.011)-((AE33*AZ33*BA33)/13.85)</f>
        <v>297.96087173981715</v>
      </c>
      <c r="AI33" s="21">
        <v>23</v>
      </c>
      <c r="AJ33" s="21"/>
      <c r="AK33" s="21">
        <v>3</v>
      </c>
      <c r="AL33" s="22">
        <f>(($D$74+($E$74*$AL$1))+((($F$74-$E$74)*(1-EXP(((-1)*$G$74)*$AL$1)))/$G$74))</f>
        <v>0.61462018377484195</v>
      </c>
      <c r="AM33" s="22">
        <f>(($H$75+($D$75*EXP(((-1)*$E$75)*$AL$1)))+($F$75*EXP(((-1)*$G$75)*$AL$1)))</f>
        <v>0.1407953621234202</v>
      </c>
      <c r="AN33" s="22">
        <f>(($D$76+($E$76*$AL$1))+((($F$76-$E$76)*(1-EXP(((-1)*$G$76)*$AL$1)))/$G$76))</f>
        <v>4.0143030297586355</v>
      </c>
      <c r="AO33" s="22">
        <f>($D$77+($E$77/(1+EXP((((-1)*$F$77)+($G$77*LN($AL$1)))+($H$77*$AL$1)))))</f>
        <v>9.750610504383303E-2</v>
      </c>
      <c r="AP33" s="22">
        <f>(($D$181*($AL$1^$E$181))+($F$181*($AL$1^$G$181)))</f>
        <v>133.02610367639622</v>
      </c>
      <c r="AQ33" s="32">
        <f>2*'[1]DATOS SO2 Y CO2'!$B$30*'[1]FE COPERT 4'!AQ33</f>
        <v>7.9815662205837724E-3</v>
      </c>
      <c r="AR33" s="19">
        <f>(44.011*(AP33/(12.011+1.008*2)))-(AL33/28.011)-(AM33/13.85)-((AO33*AZ33)/12.011)-((AO33*AZ33*BA33)/13.85)</f>
        <v>417.34239537319706</v>
      </c>
      <c r="AS33" s="22">
        <v>20</v>
      </c>
      <c r="AT33" s="22"/>
      <c r="AU33" s="22">
        <v>3</v>
      </c>
      <c r="AV33" s="4" t="s">
        <v>180</v>
      </c>
      <c r="AW33" s="4" t="s">
        <v>60</v>
      </c>
      <c r="AX33" s="4" t="s">
        <v>181</v>
      </c>
      <c r="AZ33" s="24">
        <f>+'[1]DATOS SO2 Y CO2'!$D$89</f>
        <v>0.65</v>
      </c>
      <c r="BA33" s="24">
        <f>+'[1]DATOS SO2 Y CO2'!$E$89</f>
        <v>0.4</v>
      </c>
    </row>
    <row r="34" spans="1:53" ht="56.25">
      <c r="A34" s="1" t="s">
        <v>8</v>
      </c>
      <c r="B34" s="1" t="s">
        <v>159</v>
      </c>
      <c r="C34" s="1" t="s">
        <v>20</v>
      </c>
      <c r="D34" s="1" t="s">
        <v>12</v>
      </c>
      <c r="E34" s="18" t="s">
        <v>185</v>
      </c>
      <c r="F34" s="18" t="s">
        <v>186</v>
      </c>
      <c r="G34" s="18" t="s">
        <v>174</v>
      </c>
      <c r="H34" s="18" t="s">
        <v>176</v>
      </c>
      <c r="I34" s="18" t="s">
        <v>175</v>
      </c>
      <c r="J34" s="18" t="s">
        <v>174</v>
      </c>
      <c r="K34" s="18" t="s">
        <v>176</v>
      </c>
      <c r="L34" s="18" t="s">
        <v>54</v>
      </c>
      <c r="M34" s="18" t="s">
        <v>91</v>
      </c>
      <c r="N34" s="18" t="s">
        <v>187</v>
      </c>
      <c r="O34" s="18"/>
      <c r="P34" s="18" t="s">
        <v>179</v>
      </c>
      <c r="Q34" s="18" t="s">
        <v>58</v>
      </c>
      <c r="R34" s="19">
        <f>(1/((($F$78*($R$1^2))+($E$78*$R$1))+$D$78))</f>
        <v>0.82493540906297746</v>
      </c>
      <c r="S34" s="19">
        <f>(($H$79+($D$79*EXP(((-1)*$E$79)*$R$1)))+($F$79*EXP(((-1)*$G$79)*$R$1)))</f>
        <v>0.27911981003682651</v>
      </c>
      <c r="T34" s="19">
        <f>(($D$80+($E$80*$R$1))+((($F$80-$E$80)*(1-EXP(((-1)*$G$80)*$R$1)))/$G$80))</f>
        <v>4.1286501827375197</v>
      </c>
      <c r="U34" s="19">
        <f>(1/((($F$81*($R$1^2))+($E$81*$R$1))+$D$81))</f>
        <v>7.9770552730070526E-2</v>
      </c>
      <c r="V34" s="39">
        <f>(($H$182+($D$182*EXP(((-1)*$E$182)*$R$1)))+($F$182*EXP(((-1)*$G$182)*$R$1)))</f>
        <v>119.75471359725802</v>
      </c>
      <c r="W34" s="33">
        <f>2*'[1]DATOS SO2 Y CO2'!$B$30*'[1]FE COPERT 4'!W34</f>
        <v>7.1852828158354811E-3</v>
      </c>
      <c r="X34" s="19">
        <f>(44.011*(V34/(12.011+1.008*2)))-(R34/28.011)-(S34/13.85)-((U34*AZ34)/12.011)-((U34*AZ34*BA34)/13.85)</f>
        <v>375.68598795987191</v>
      </c>
      <c r="Y34" s="19">
        <f>85*(1-36%)</f>
        <v>54.4</v>
      </c>
      <c r="Z34" s="19"/>
      <c r="AA34" s="19">
        <v>3</v>
      </c>
      <c r="AB34" s="21">
        <f>(1/((($F$78*($AB$1^2))+($E$78*$AB$1))+$D$78))</f>
        <v>0.46091845693429534</v>
      </c>
      <c r="AC34" s="21">
        <f>(($H$79+($D$79*EXP(((-1)*$E$79)*$AB$1)))+($F$79*EXP(((-1)*$G$79)*$AB$1)))</f>
        <v>0.11764592824300948</v>
      </c>
      <c r="AD34" s="21">
        <f>(($D$80+($E$80*$AB$1))+((($F$80-$E$80)*(1-EXP(((-1)*$G$80)*$AB$1)))/$G$80))</f>
        <v>3.2617165971104303</v>
      </c>
      <c r="AE34" s="21">
        <f>(1/((($F$81*($AB$1^2))+($E$81*$AB$1))+$D$81))</f>
        <v>5.4368931349669164E-2</v>
      </c>
      <c r="AF34" s="21">
        <f>(($H$182+($D$182*EXP(((-1)*$E$182)*$AB$1)))+($F$182*EXP(((-1)*$G$182)*$AB$1)))</f>
        <v>91.415223450995015</v>
      </c>
      <c r="AG34" s="21">
        <f>2*'[1]DATOS SO2 Y CO2'!$B$30*'[1]FE COPERT 4'!AG34</f>
        <v>5.4849134070597012E-3</v>
      </c>
      <c r="AH34" s="21">
        <f>(44.011*(AF34/(12.011+1.008*2)))-(AB34/28.011)-(AC34/13.85)-((AE34*AZ34)/12.011)-((AE34*AZ34*BA34)/13.85)</f>
        <v>286.79474220029226</v>
      </c>
      <c r="AI34" s="21">
        <f>23*(1-13%)</f>
        <v>20.010000000000002</v>
      </c>
      <c r="AJ34" s="21"/>
      <c r="AK34" s="21">
        <v>3</v>
      </c>
      <c r="AL34" s="22">
        <f>(1/((($F$78*($AL$1^2))+($E$78*$AL$1))+$D$78))</f>
        <v>0.54331320025237606</v>
      </c>
      <c r="AM34" s="22">
        <f>(($H$79+($D$79*EXP(((-1)*$E$79)*$AL$1)))+($F$79*EXP(((-1)*$G$79)*$AL$1)))</f>
        <v>8.6689443565226981E-2</v>
      </c>
      <c r="AN34" s="22">
        <f>(($D$80+($E$80*$AL$1))+((($F$80-$E$80)*(1-EXP(((-1)*$G$80)*$AL$1)))/$G$80))</f>
        <v>3.9369148441940949</v>
      </c>
      <c r="AO34" s="22">
        <f>(1/((($F$81*($AL$1^2))+($E$81*$AL$1))+$D$81))</f>
        <v>7.7508359862574344E-2</v>
      </c>
      <c r="AP34" s="22">
        <f>(($H$182+($D$182*EXP(((-1)*$E$182)*$AL$1)))+($F$182*EXP(((-1)*$G$182)*$AL$1)))</f>
        <v>137.4641006587062</v>
      </c>
      <c r="AQ34" s="32">
        <f>2*'[1]DATOS SO2 Y CO2'!$B$30*'[1]FE COPERT 4'!AQ34</f>
        <v>8.2478460395223729E-3</v>
      </c>
      <c r="AR34" s="19">
        <f>(44.011*(AP34/(12.011+1.008*2)))-(AL34/28.011)-(AM34/13.85)-((AO34*AZ34)/12.011)-((AO34*AZ34*BA34)/13.85)</f>
        <v>431.27492812732032</v>
      </c>
      <c r="AS34" s="22">
        <f>+(20*(1-7%))</f>
        <v>18.599999999999998</v>
      </c>
      <c r="AT34" s="22"/>
      <c r="AU34" s="22">
        <v>3</v>
      </c>
      <c r="AV34" s="4" t="s">
        <v>180</v>
      </c>
      <c r="AW34" s="4" t="s">
        <v>60</v>
      </c>
      <c r="AX34" s="4" t="s">
        <v>181</v>
      </c>
      <c r="AZ34" s="24">
        <f>+'[1]DATOS SO2 Y CO2'!$D$90</f>
        <v>0.65</v>
      </c>
      <c r="BA34" s="24">
        <f>+'[1]DATOS SO2 Y CO2'!$E$90</f>
        <v>0.4</v>
      </c>
    </row>
    <row r="35" spans="1:53" ht="56.25">
      <c r="A35" s="1" t="s">
        <v>8</v>
      </c>
      <c r="B35" s="1" t="s">
        <v>159</v>
      </c>
      <c r="C35" s="1" t="s">
        <v>20</v>
      </c>
      <c r="D35" s="1" t="s">
        <v>13</v>
      </c>
      <c r="E35" s="18" t="s">
        <v>188</v>
      </c>
      <c r="F35" s="18" t="s">
        <v>189</v>
      </c>
      <c r="G35" s="18" t="s">
        <v>176</v>
      </c>
      <c r="H35" s="18" t="s">
        <v>190</v>
      </c>
      <c r="I35" s="18" t="s">
        <v>184</v>
      </c>
      <c r="J35" s="18" t="s">
        <v>176</v>
      </c>
      <c r="K35" s="18" t="s">
        <v>184</v>
      </c>
      <c r="L35" s="18" t="s">
        <v>54</v>
      </c>
      <c r="M35" s="18" t="s">
        <v>91</v>
      </c>
      <c r="N35" s="18" t="s">
        <v>191</v>
      </c>
      <c r="O35" s="18"/>
      <c r="P35" s="18" t="s">
        <v>179</v>
      </c>
      <c r="Q35" s="18" t="s">
        <v>58</v>
      </c>
      <c r="R35" s="19">
        <f>(($H$82+($D$82*EXP(((-1)*$E$82)*$R$1)))+($F$82*EXP(((-1)*$G$82)*$R$1)))</f>
        <v>1.0598738078349335</v>
      </c>
      <c r="S35" s="19">
        <f>EXP(($D$83+($E$83/$R$1))+($F$83*LN($R$1)))</f>
        <v>0.25621264104800462</v>
      </c>
      <c r="T35" s="19">
        <f>(($D$84*($R$1^$E$84))+($F$84*($R$1^$G$84)))</f>
        <v>3.3855210319754674</v>
      </c>
      <c r="U35" s="19">
        <f>(($H$85+($D$85*EXP(((-1)*$E$85)*$R$1)))+($F$85*EXP(((-1)*$G$85)*$R$1)))</f>
        <v>9.7724056240596588E-2</v>
      </c>
      <c r="V35" s="19">
        <f>(($D$183*($R$1^$E$183))+($F$183*($R$1^$G$183)))</f>
        <v>124.85591602997491</v>
      </c>
      <c r="W35" s="33">
        <f>2*'[1]DATOS SO2 Y CO2'!$B$30*'[1]FE COPERT 4'!W35</f>
        <v>7.4913549617984946E-3</v>
      </c>
      <c r="X35" s="19">
        <f>(44.011*(V35/(12.011+1.008*2)))-(R35/28.011)-(S35/13.85)-((U35*AZ35)/12.011)-((U35*AZ35*BA35)/13.85)</f>
        <v>391.68338276278325</v>
      </c>
      <c r="Y35" s="19">
        <f>85*(1-44%)</f>
        <v>47.6</v>
      </c>
      <c r="Z35" s="19"/>
      <c r="AA35" s="19">
        <v>3</v>
      </c>
      <c r="AB35" s="21">
        <f>(($H$82+($D$82*EXP(((-1)*$E$82)*$AB$1)))+($F$82*EXP(((-1)*$G$82)*$AB$1)))</f>
        <v>0.47102463730711691</v>
      </c>
      <c r="AC35" s="21">
        <f>EXP(($D$83+($E$83/$AB$1))+($F$83*LN($AB$1)))</f>
        <v>0.10539074432427106</v>
      </c>
      <c r="AD35" s="21">
        <f>(($D$84*($AB$1^$E$84))+($F$84*($AB$1^$G$84)))</f>
        <v>2.4014781993485306</v>
      </c>
      <c r="AE35" s="21">
        <f>(($H$85+($D$85*EXP(((-1)*$E$85)*$AB$1)))+($F$85*EXP(((-1)*$G$85)*$AB$1)))</f>
        <v>4.6954025361953651E-2</v>
      </c>
      <c r="AF35" s="21">
        <f>(($D$183*($AB$1^$E$183))+($F$183*($AB$1^$G$183)))</f>
        <v>96.394009688926076</v>
      </c>
      <c r="AG35" s="21">
        <f>2*'[1]DATOS SO2 Y CO2'!$B$30*'[1]FE COPERT 4'!AG35</f>
        <v>5.7836405813355644E-3</v>
      </c>
      <c r="AH35" s="21">
        <f>(44.011*(AF35/(12.011+1.008*2)))-(AB35/28.011)-(AC35/13.85)-((AE35*AZ35)/12.011)-((AE35*AZ35*BA35)/13.85)</f>
        <v>302.41717958475317</v>
      </c>
      <c r="AI35" s="21">
        <f>23*(1-7%)</f>
        <v>21.389999999999997</v>
      </c>
      <c r="AJ35" s="21"/>
      <c r="AK35" s="21">
        <v>3</v>
      </c>
      <c r="AL35" s="22">
        <f>(($H$82+($D$82*EXP(((-1)*$E$82)*$AL$1)))+($F$82*EXP(((-1)*$G$82)*$AL$1)))</f>
        <v>0.39548571858167575</v>
      </c>
      <c r="AM35" s="22">
        <f>EXP(($D$83+($E$83/$AL$1))+($F$83*LN($AL$1)))</f>
        <v>6.7335133650756579E-2</v>
      </c>
      <c r="AN35" s="22">
        <f>(($D$84*($AL$1^$E$84))+($F$84*($AL$1^$G$84)))</f>
        <v>2.8890239843294996</v>
      </c>
      <c r="AO35" s="22">
        <f>(($H$85+($D$85*EXP(((-1)*$E$85)*$AL$1)))+($F$85*EXP(((-1)*$G$85)*$AL$1)))</f>
        <v>3.8557624301815266E-2</v>
      </c>
      <c r="AP35" s="22">
        <f>(($D$183*($AL$1^$E$183))+($F$183*($AL$1^$G$183)))</f>
        <v>131.23501155520793</v>
      </c>
      <c r="AQ35" s="32">
        <f>2*'[1]DATOS SO2 Y CO2'!$B$30*'[1]FE COPERT 4'!AQ35</f>
        <v>7.8741006933124753E-3</v>
      </c>
      <c r="AR35" s="19">
        <f>(44.011*(AP35/(12.011+1.008*2)))-(AL35/28.011)-(AM35/13.85)-((AO35*AZ35)/12.011)-((AO35*AZ35*BA35)/13.85)</f>
        <v>411.74008200872515</v>
      </c>
      <c r="AS35" s="22">
        <f>20*(1-9%)</f>
        <v>18.2</v>
      </c>
      <c r="AT35" s="22"/>
      <c r="AU35" s="22">
        <v>3</v>
      </c>
      <c r="AV35" s="4" t="s">
        <v>180</v>
      </c>
      <c r="AW35" s="4" t="s">
        <v>60</v>
      </c>
      <c r="AX35" s="4" t="s">
        <v>181</v>
      </c>
      <c r="AZ35" s="24">
        <f>+'[1]DATOS SO2 Y CO2'!$D$91</f>
        <v>0.7</v>
      </c>
      <c r="BA35" s="24">
        <f>+'[1]DATOS SO2 Y CO2'!$E$91</f>
        <v>0.3</v>
      </c>
    </row>
    <row r="36" spans="1:53">
      <c r="A36" s="1" t="s">
        <v>8</v>
      </c>
      <c r="B36" s="1" t="s">
        <v>159</v>
      </c>
      <c r="C36" s="1" t="s">
        <v>21</v>
      </c>
      <c r="D36" s="1" t="s">
        <v>13</v>
      </c>
      <c r="E36" s="18" t="s">
        <v>192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 t="s">
        <v>58</v>
      </c>
      <c r="R36" s="19"/>
      <c r="S36" s="19"/>
      <c r="T36" s="19"/>
      <c r="U36" s="19"/>
      <c r="V36" s="19"/>
      <c r="W36" s="33"/>
      <c r="X36" s="19">
        <f>(44.011*(V36/(12.011+1.008*1.8)))-(R36/28.011)-(S36/13.85)-((U36*AZ36)/12.011)-((U36*BA36)/13.85)</f>
        <v>0</v>
      </c>
      <c r="Y36" s="19"/>
      <c r="Z36" s="19"/>
      <c r="AA36" s="19"/>
      <c r="AB36" s="21"/>
      <c r="AC36" s="21"/>
      <c r="AD36" s="21"/>
      <c r="AE36" s="21"/>
      <c r="AF36" s="21"/>
      <c r="AG36" s="21"/>
      <c r="AH36" s="21">
        <f>(44.011*(AF36/(12.011+1.008*1.8)))-(AB36/28.011)-(AC36/13.85)-((AE36*AZ36)/12.011)-((AE36*BA36)/13.85)</f>
        <v>0</v>
      </c>
      <c r="AI36" s="21"/>
      <c r="AJ36" s="21"/>
      <c r="AK36" s="21"/>
      <c r="AL36" s="22"/>
      <c r="AM36" s="22"/>
      <c r="AN36" s="22"/>
      <c r="AO36" s="22"/>
      <c r="AP36" s="22"/>
      <c r="AQ36" s="32"/>
      <c r="AR36" s="19">
        <f>(44.011*(AP36/(12.011+1.008*1.8)))-(AL36/28.011)-(AM36/13.85)-((AO36*AZ36)/12.011)-((AO36*BA36)/13.85)</f>
        <v>0</v>
      </c>
      <c r="AS36" s="22"/>
      <c r="AT36" s="22"/>
      <c r="AU36" s="22"/>
      <c r="AV36" s="4" t="s">
        <v>193</v>
      </c>
      <c r="AZ36" s="4">
        <v>0</v>
      </c>
      <c r="BA36" s="4">
        <v>0</v>
      </c>
    </row>
    <row r="37" spans="1:53">
      <c r="A37" s="1" t="s">
        <v>8</v>
      </c>
      <c r="B37" s="1" t="s">
        <v>159</v>
      </c>
      <c r="C37" s="1" t="s">
        <v>22</v>
      </c>
      <c r="D37" s="1" t="s">
        <v>13</v>
      </c>
      <c r="E37" s="18" t="s">
        <v>192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58</v>
      </c>
      <c r="R37" s="19"/>
      <c r="S37" s="19"/>
      <c r="T37" s="19"/>
      <c r="U37" s="19"/>
      <c r="V37" s="19"/>
      <c r="W37" s="33"/>
      <c r="X37" s="19"/>
      <c r="Y37" s="19"/>
      <c r="Z37" s="19"/>
      <c r="AA37" s="19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2"/>
      <c r="AM37" s="22"/>
      <c r="AN37" s="22"/>
      <c r="AO37" s="22"/>
      <c r="AP37" s="22"/>
      <c r="AQ37" s="32"/>
      <c r="AR37" s="19"/>
      <c r="AS37" s="22"/>
      <c r="AT37" s="22"/>
      <c r="AU37" s="22"/>
      <c r="AV37" s="4" t="s">
        <v>193</v>
      </c>
      <c r="AZ37" s="4">
        <v>0</v>
      </c>
      <c r="BA37" s="4">
        <v>0</v>
      </c>
    </row>
    <row r="38" spans="1:53" ht="56.25">
      <c r="A38" s="1" t="s">
        <v>14</v>
      </c>
      <c r="B38" s="1" t="s">
        <v>159</v>
      </c>
      <c r="C38" s="1" t="s">
        <v>19</v>
      </c>
      <c r="D38" s="1" t="s">
        <v>3</v>
      </c>
      <c r="E38" s="18" t="s">
        <v>194</v>
      </c>
      <c r="F38" s="18" t="s">
        <v>161</v>
      </c>
      <c r="G38" s="18" t="s">
        <v>162</v>
      </c>
      <c r="H38" s="18" t="s">
        <v>163</v>
      </c>
      <c r="I38" s="18" t="s">
        <v>164</v>
      </c>
      <c r="J38" s="18" t="s">
        <v>52</v>
      </c>
      <c r="K38" s="18" t="s">
        <v>165</v>
      </c>
      <c r="L38" s="18" t="s">
        <v>54</v>
      </c>
      <c r="M38" s="18" t="s">
        <v>55</v>
      </c>
      <c r="N38" s="18" t="s">
        <v>166</v>
      </c>
      <c r="O38" s="18" t="s">
        <v>167</v>
      </c>
      <c r="P38" s="18" t="s">
        <v>168</v>
      </c>
      <c r="Q38" s="18" t="s">
        <v>58</v>
      </c>
      <c r="R38" s="19">
        <v>70</v>
      </c>
      <c r="S38" s="19">
        <v>7</v>
      </c>
      <c r="T38" s="19">
        <v>4.5</v>
      </c>
      <c r="U38" s="19"/>
      <c r="V38" s="19">
        <v>225</v>
      </c>
      <c r="W38" s="33">
        <f>2*'[1]DATOS SO2 Y CO2'!$B$30*'[1]FE COPERT 4'!W38</f>
        <v>1.35E-2</v>
      </c>
      <c r="X38" s="19">
        <f>(44.011*(V38/(12.011+1.008*1.8)))-(R38/28.011)-(S38/13.85)-((U38*AZ38)/12.011)-((AZ38*U38*BA38)/13.85)</f>
        <v>713.24789925778168</v>
      </c>
      <c r="Y38" s="19">
        <v>140</v>
      </c>
      <c r="Z38" s="19">
        <v>6</v>
      </c>
      <c r="AA38" s="19">
        <v>2</v>
      </c>
      <c r="AB38" s="21">
        <v>55</v>
      </c>
      <c r="AC38" s="21">
        <v>5.5</v>
      </c>
      <c r="AD38" s="21">
        <v>7.5</v>
      </c>
      <c r="AE38" s="21"/>
      <c r="AF38" s="21">
        <v>150</v>
      </c>
      <c r="AG38" s="21">
        <f>2*'[1]DATOS SO2 Y CO2'!$B$30*'[1]FE COPERT 4'!AG38</f>
        <v>9.0000000000000011E-3</v>
      </c>
      <c r="AH38" s="21">
        <f>(44.011*(AF38/(12.011+1.008*1.8)))-(AB38/28.011)-(AC38/13.85)-((AE38*AZ38)/12.011)-((AZ38*AE38*BA38)/13.85)</f>
        <v>475.14092886170101</v>
      </c>
      <c r="AI38" s="21">
        <v>110</v>
      </c>
      <c r="AJ38" s="21">
        <v>6</v>
      </c>
      <c r="AK38" s="21">
        <v>2</v>
      </c>
      <c r="AL38" s="22">
        <v>55</v>
      </c>
      <c r="AM38" s="22">
        <v>3.5</v>
      </c>
      <c r="AN38" s="22">
        <v>7.5</v>
      </c>
      <c r="AO38" s="22"/>
      <c r="AP38" s="22">
        <v>165</v>
      </c>
      <c r="AQ38" s="32">
        <f>2*'[1]DATOS SO2 Y CO2'!$B$30*'[1]FE COPERT 4'!AQ38</f>
        <v>9.9000000000000008E-3</v>
      </c>
      <c r="AR38" s="19">
        <f>(44.011*(AP38/(12.011+1.008*1.8)))-(AL38/28.011)-(AM38/13.85)-((AO38*AZ38)/12.011)-((AZ38*AO38*BA38)/13.85)</f>
        <v>523.03548870470229</v>
      </c>
      <c r="AS38" s="22">
        <v>70</v>
      </c>
      <c r="AT38" s="22">
        <v>6</v>
      </c>
      <c r="AU38" s="22">
        <v>2</v>
      </c>
      <c r="AV38" s="4" t="s">
        <v>169</v>
      </c>
      <c r="AW38" s="4" t="s">
        <v>60</v>
      </c>
      <c r="AX38" s="4" t="s">
        <v>170</v>
      </c>
      <c r="AZ38" s="4">
        <v>0</v>
      </c>
      <c r="BA38" s="4">
        <v>0</v>
      </c>
    </row>
    <row r="39" spans="1:53" ht="56.25">
      <c r="A39" s="1" t="s">
        <v>14</v>
      </c>
      <c r="B39" s="1" t="s">
        <v>159</v>
      </c>
      <c r="C39" s="1" t="s">
        <v>19</v>
      </c>
      <c r="D39" s="1" t="s">
        <v>9</v>
      </c>
      <c r="E39" s="18" t="s">
        <v>194</v>
      </c>
      <c r="F39" s="18" t="s">
        <v>161</v>
      </c>
      <c r="G39" s="18" t="s">
        <v>162</v>
      </c>
      <c r="H39" s="18" t="s">
        <v>163</v>
      </c>
      <c r="I39" s="18" t="s">
        <v>164</v>
      </c>
      <c r="J39" s="18" t="s">
        <v>52</v>
      </c>
      <c r="K39" s="18" t="s">
        <v>165</v>
      </c>
      <c r="L39" s="18" t="s">
        <v>54</v>
      </c>
      <c r="M39" s="18" t="s">
        <v>55</v>
      </c>
      <c r="N39" s="18" t="s">
        <v>166</v>
      </c>
      <c r="O39" s="18" t="s">
        <v>167</v>
      </c>
      <c r="P39" s="18" t="s">
        <v>168</v>
      </c>
      <c r="Q39" s="18" t="s">
        <v>58</v>
      </c>
      <c r="R39" s="19">
        <v>70</v>
      </c>
      <c r="S39" s="19">
        <v>7</v>
      </c>
      <c r="T39" s="19">
        <v>4.5</v>
      </c>
      <c r="U39" s="19"/>
      <c r="V39" s="19">
        <v>225</v>
      </c>
      <c r="W39" s="33">
        <f>2*'[1]DATOS SO2 Y CO2'!$B$30*'[1]FE COPERT 4'!W39</f>
        <v>1.35E-2</v>
      </c>
      <c r="X39" s="19">
        <f>(44.011*(V39/(12.011+1.008*1.8)))-(R39/28.011)-(S39/13.85)-((U39*AZ39)/12.011)-((AZ39*U39*BA39)/13.85)</f>
        <v>713.24789925778168</v>
      </c>
      <c r="Y39" s="19">
        <v>140</v>
      </c>
      <c r="Z39" s="19">
        <v>6</v>
      </c>
      <c r="AA39" s="19">
        <v>2</v>
      </c>
      <c r="AB39" s="21">
        <v>55</v>
      </c>
      <c r="AC39" s="21">
        <v>5.5</v>
      </c>
      <c r="AD39" s="21">
        <v>7.5</v>
      </c>
      <c r="AE39" s="21"/>
      <c r="AF39" s="21">
        <v>150</v>
      </c>
      <c r="AG39" s="21">
        <f>2*'[1]DATOS SO2 Y CO2'!$B$30*'[1]FE COPERT 4'!AG39</f>
        <v>9.0000000000000011E-3</v>
      </c>
      <c r="AH39" s="21">
        <f>(44.011*(AF39/(12.011+1.008*1.8)))-(AB39/28.011)-(AC39/13.85)-((AE39*AZ39)/12.011)-((AZ39*AE39*BA39)/13.85)</f>
        <v>475.14092886170101</v>
      </c>
      <c r="AI39" s="21">
        <v>110</v>
      </c>
      <c r="AJ39" s="21">
        <v>6</v>
      </c>
      <c r="AK39" s="21">
        <v>2</v>
      </c>
      <c r="AL39" s="22">
        <v>55</v>
      </c>
      <c r="AM39" s="22">
        <v>3.5</v>
      </c>
      <c r="AN39" s="22">
        <v>7.5</v>
      </c>
      <c r="AO39" s="22"/>
      <c r="AP39" s="22">
        <v>165</v>
      </c>
      <c r="AQ39" s="32">
        <f>2*'[1]DATOS SO2 Y CO2'!$B$30*'[1]FE COPERT 4'!AQ39</f>
        <v>9.9000000000000008E-3</v>
      </c>
      <c r="AR39" s="19">
        <f>(44.011*(AP39/(12.011+1.008*1.8)))-(AL39/28.011)-(AM39/13.85)-((AO39*AZ39)/12.011)-((AZ39*AO39*BA39)/13.85)</f>
        <v>523.03548870470229</v>
      </c>
      <c r="AS39" s="22">
        <v>70</v>
      </c>
      <c r="AT39" s="22">
        <v>6</v>
      </c>
      <c r="AU39" s="22">
        <v>2</v>
      </c>
      <c r="AV39" s="4" t="s">
        <v>169</v>
      </c>
      <c r="AW39" s="4" t="s">
        <v>60</v>
      </c>
      <c r="AX39" s="4" t="s">
        <v>170</v>
      </c>
      <c r="AZ39" s="4">
        <v>0</v>
      </c>
      <c r="BA39" s="4">
        <v>0</v>
      </c>
    </row>
    <row r="40" spans="1:53" ht="56.25">
      <c r="A40" s="1" t="s">
        <v>14</v>
      </c>
      <c r="B40" s="1" t="s">
        <v>159</v>
      </c>
      <c r="C40" s="1" t="s">
        <v>19</v>
      </c>
      <c r="D40" s="1" t="s">
        <v>10</v>
      </c>
      <c r="E40" s="18" t="s">
        <v>194</v>
      </c>
      <c r="F40" s="18" t="s">
        <v>161</v>
      </c>
      <c r="G40" s="18" t="s">
        <v>162</v>
      </c>
      <c r="H40" s="18" t="s">
        <v>163</v>
      </c>
      <c r="I40" s="18" t="s">
        <v>164</v>
      </c>
      <c r="J40" s="18" t="s">
        <v>52</v>
      </c>
      <c r="K40" s="18" t="s">
        <v>165</v>
      </c>
      <c r="L40" s="18" t="s">
        <v>54</v>
      </c>
      <c r="M40" s="18" t="s">
        <v>55</v>
      </c>
      <c r="N40" s="18" t="s">
        <v>166</v>
      </c>
      <c r="O40" s="18" t="s">
        <v>167</v>
      </c>
      <c r="P40" s="18" t="s">
        <v>168</v>
      </c>
      <c r="Q40" s="18" t="s">
        <v>58</v>
      </c>
      <c r="R40" s="19">
        <v>70</v>
      </c>
      <c r="S40" s="19">
        <v>7</v>
      </c>
      <c r="T40" s="19">
        <v>4.5</v>
      </c>
      <c r="U40" s="19"/>
      <c r="V40" s="19">
        <v>225</v>
      </c>
      <c r="W40" s="33">
        <f>2*'[1]DATOS SO2 Y CO2'!$B$30*'[1]FE COPERT 4'!W40</f>
        <v>1.35E-2</v>
      </c>
      <c r="X40" s="19">
        <f>(44.011*(V40/(12.011+1.008*1.8)))-(R40/28.011)-(S40/13.85)-((U40*AZ40)/12.011)-((AZ40*U40*BA40)/13.85)</f>
        <v>713.24789925778168</v>
      </c>
      <c r="Y40" s="19">
        <v>140</v>
      </c>
      <c r="Z40" s="19">
        <v>6</v>
      </c>
      <c r="AA40" s="19">
        <v>2</v>
      </c>
      <c r="AB40" s="21">
        <v>55</v>
      </c>
      <c r="AC40" s="21">
        <v>5.5</v>
      </c>
      <c r="AD40" s="21">
        <v>7.5</v>
      </c>
      <c r="AE40" s="21"/>
      <c r="AF40" s="21">
        <v>150</v>
      </c>
      <c r="AG40" s="21">
        <f>2*'[1]DATOS SO2 Y CO2'!$B$30*'[1]FE COPERT 4'!AG40</f>
        <v>9.0000000000000011E-3</v>
      </c>
      <c r="AH40" s="21">
        <f>(44.011*(AF40/(12.011+1.008*1.8)))-(AB40/28.011)-(AC40/13.85)-((AE40*AZ40)/12.011)-((AZ40*AE40*BA40)/13.85)</f>
        <v>475.14092886170101</v>
      </c>
      <c r="AI40" s="21">
        <v>110</v>
      </c>
      <c r="AJ40" s="21">
        <v>6</v>
      </c>
      <c r="AK40" s="21">
        <v>2</v>
      </c>
      <c r="AL40" s="22">
        <v>55</v>
      </c>
      <c r="AM40" s="22">
        <v>3.5</v>
      </c>
      <c r="AN40" s="22">
        <v>7.5</v>
      </c>
      <c r="AO40" s="22"/>
      <c r="AP40" s="22">
        <v>165</v>
      </c>
      <c r="AQ40" s="32">
        <f>2*'[1]DATOS SO2 Y CO2'!$B$30*'[1]FE COPERT 4'!AQ40</f>
        <v>9.9000000000000008E-3</v>
      </c>
      <c r="AR40" s="19">
        <f>(44.011*(AP40/(12.011+1.008*1.8)))-(AL40/28.011)-(AM40/13.85)-((AO40*AZ40)/12.011)-((AZ40*AO40*BA40)/13.85)</f>
        <v>523.03548870470229</v>
      </c>
      <c r="AS40" s="22">
        <v>70</v>
      </c>
      <c r="AT40" s="22">
        <v>6</v>
      </c>
      <c r="AU40" s="22">
        <v>2</v>
      </c>
      <c r="AV40" s="4" t="s">
        <v>169</v>
      </c>
      <c r="AW40" s="4" t="s">
        <v>60</v>
      </c>
      <c r="AX40" s="4" t="s">
        <v>170</v>
      </c>
      <c r="AZ40" s="4">
        <v>0</v>
      </c>
      <c r="BA40" s="4">
        <v>0</v>
      </c>
    </row>
    <row r="41" spans="1:53" ht="56.25">
      <c r="A41" s="1" t="s">
        <v>14</v>
      </c>
      <c r="B41" s="1" t="s">
        <v>159</v>
      </c>
      <c r="C41" s="1" t="s">
        <v>20</v>
      </c>
      <c r="D41" s="1" t="s">
        <v>3</v>
      </c>
      <c r="E41" s="18" t="s">
        <v>195</v>
      </c>
      <c r="F41" s="18" t="s">
        <v>196</v>
      </c>
      <c r="G41" s="18" t="s">
        <v>176</v>
      </c>
      <c r="H41" s="18" t="s">
        <v>173</v>
      </c>
      <c r="I41" s="18" t="s">
        <v>175</v>
      </c>
      <c r="J41" s="18" t="s">
        <v>176</v>
      </c>
      <c r="K41" s="18" t="s">
        <v>174</v>
      </c>
      <c r="L41" s="18" t="s">
        <v>54</v>
      </c>
      <c r="M41" s="18" t="s">
        <v>91</v>
      </c>
      <c r="N41" s="18" t="s">
        <v>178</v>
      </c>
      <c r="O41" s="18" t="s">
        <v>197</v>
      </c>
      <c r="P41" s="18" t="s">
        <v>179</v>
      </c>
      <c r="Q41" s="18" t="s">
        <v>58</v>
      </c>
      <c r="R41" s="19">
        <f>(($H$91+($D$91*EXP(((-1)*$E$91)*$R$1)))+($F$91*EXP(((-1)*$G$91)*$R$1)))</f>
        <v>4.1798457997847027</v>
      </c>
      <c r="S41" s="19">
        <f>($D$92+($E$92/(1+EXP((((-1)*$F$92)+($G$92*LN($R$1)))+($H$92*$R$1)))))</f>
        <v>1.921510149654253</v>
      </c>
      <c r="T41" s="19">
        <f>(($D$93+($E$93*$R$1))+((($F$93-$E$93)*(1-EXP(((-1)*$G$93)*$R$1)))/$G$93))</f>
        <v>12.266177769258503</v>
      </c>
      <c r="U41" s="19">
        <f>(($H$94+($D$94*EXP(((-1)*$E$94)*$R$1)))+($F$94*EXP(((-1)*$G$94)*$R$1)))</f>
        <v>0.65128056799660128</v>
      </c>
      <c r="V41" s="19">
        <f>(1/((($F$184*($R$1^2))+($E$184*$R$1))+$D$184))</f>
        <v>278.82336539802031</v>
      </c>
      <c r="W41" s="33">
        <f>2*'[1]DATOS SO2 Y CO2'!$B$30*'[1]FE COPERT 4'!W41</f>
        <v>1.6729401923881219E-2</v>
      </c>
      <c r="X41" s="19">
        <f>(44.011*(V41/(12.011+1.008*2)))-(R41/28.011)-(S41/13.85)-((U41*AZ41)/12.011)-((U41*AZ41*BA41)/13.85)</f>
        <v>874.50002120689351</v>
      </c>
      <c r="Y41" s="19">
        <v>85</v>
      </c>
      <c r="Z41" s="19">
        <v>30</v>
      </c>
      <c r="AA41" s="19">
        <v>3</v>
      </c>
      <c r="AB41" s="21">
        <f>(($H$91+($D$91*EXP(((-1)*$E$91)*$AB$1)))+($F$91*EXP(((-1)*$G$91)*$AB$1)))</f>
        <v>1.8886522215546526</v>
      </c>
      <c r="AC41" s="21">
        <f>($D$92+($E$92/(1+EXP((((-1)*$F$92)+($G$92*LN($AB$1)))+($H$92*$AB$1)))))</f>
        <v>0.70219562925354162</v>
      </c>
      <c r="AD41" s="21">
        <f>(($D$93+($E$93*$AB$1))+((($F$93-$E$93)*(1-EXP(((-1)*$G$93)*$AB$1)))/$G$93))</f>
        <v>8.3113254613089076</v>
      </c>
      <c r="AE41" s="21">
        <f>(($H$94+($D$94*EXP(((-1)*$E$94)*$AB$1)))+($F$94*EXP(((-1)*$G$94)*$AB$1)))</f>
        <v>0.29838874512399222</v>
      </c>
      <c r="AF41" s="21">
        <f>(1/((($F$184*($AB$1^2))+($E$184*$AB$1))+$D$184))</f>
        <v>164.19013217305638</v>
      </c>
      <c r="AG41" s="21">
        <f>2*'[1]DATOS SO2 Y CO2'!$B$30*'[1]FE COPERT 4'!AG41</f>
        <v>9.8514079303833827E-3</v>
      </c>
      <c r="AH41" s="21">
        <f>(44.011*(AF41/(12.011+1.008*2)))-(AB41/28.011)-(AC41/13.85)-((AE41*AZ41)/12.011)-((AE41*AZ41*BA41)/13.85)</f>
        <v>515.02244563106831</v>
      </c>
      <c r="AI41" s="21">
        <v>23</v>
      </c>
      <c r="AJ41" s="21">
        <v>30</v>
      </c>
      <c r="AK41" s="21">
        <v>3</v>
      </c>
      <c r="AL41" s="22">
        <f>(($H$91+($D$91*EXP(((-1)*$E$91)*$AL$1)))+($F$91*EXP(((-1)*$G$91)*$AL$1)))</f>
        <v>1.6662353346699026</v>
      </c>
      <c r="AM41" s="22">
        <f>($D$92+($E$92/(1+EXP((((-1)*$F$92)+($G$92*LN($AL$1)))+($H$92*$AL$1)))))</f>
        <v>0.5146198480151235</v>
      </c>
      <c r="AN41" s="22">
        <f>(($D$93+($E$93*$AL$1))+((($F$93-$E$93)*(1-EXP(((-1)*$G$93)*$AL$1)))/$G$93))</f>
        <v>8.8277552617426096</v>
      </c>
      <c r="AO41" s="22">
        <f>(($H$94+($D$94*EXP(((-1)*$E$94)*$AL$1)))+($F$94*EXP(((-1)*$G$94)*$AL$1)))</f>
        <v>0.26194667863374926</v>
      </c>
      <c r="AP41" s="22">
        <f>(1/((($F$184*($AL$1^2))+($E$184*$AL$1))+$D$184))</f>
        <v>197.06375012316488</v>
      </c>
      <c r="AQ41" s="32">
        <f>2*'[1]DATOS SO2 Y CO2'!$B$30*'[1]FE COPERT 4'!AQ41</f>
        <v>1.1823825007389894E-2</v>
      </c>
      <c r="AR41" s="19">
        <f>(44.011*(AP41/(12.011+1.008*2)))-(AL41/28.011)-(AM41/13.85)-((AO41*AZ41)/12.011)-((AO41*AZ41*BA41)/13.85)</f>
        <v>618.19049255491018</v>
      </c>
      <c r="AS41" s="22">
        <v>20</v>
      </c>
      <c r="AT41" s="22">
        <v>30</v>
      </c>
      <c r="AU41" s="22">
        <v>3</v>
      </c>
      <c r="AV41" s="4" t="s">
        <v>198</v>
      </c>
      <c r="AW41" s="4" t="s">
        <v>60</v>
      </c>
      <c r="AX41" s="4" t="s">
        <v>199</v>
      </c>
      <c r="AZ41" s="24">
        <f>+'[1]DATOS SO2 Y CO2'!$D$88</f>
        <v>0.5</v>
      </c>
      <c r="BA41" s="24">
        <f>+'[1]DATOS SO2 Y CO2'!$E$88</f>
        <v>0.8</v>
      </c>
    </row>
    <row r="42" spans="1:53" ht="56.25">
      <c r="A42" s="1" t="s">
        <v>14</v>
      </c>
      <c r="B42" s="1" t="s">
        <v>159</v>
      </c>
      <c r="C42" s="1" t="s">
        <v>20</v>
      </c>
      <c r="D42" s="1" t="s">
        <v>11</v>
      </c>
      <c r="E42" s="18" t="s">
        <v>200</v>
      </c>
      <c r="F42" s="18" t="s">
        <v>201</v>
      </c>
      <c r="G42" s="18" t="s">
        <v>176</v>
      </c>
      <c r="H42" s="18" t="s">
        <v>173</v>
      </c>
      <c r="I42" s="18" t="s">
        <v>175</v>
      </c>
      <c r="J42" s="18" t="s">
        <v>176</v>
      </c>
      <c r="K42" s="18" t="s">
        <v>174</v>
      </c>
      <c r="L42" s="18" t="s">
        <v>54</v>
      </c>
      <c r="M42" s="18" t="s">
        <v>91</v>
      </c>
      <c r="N42" s="18" t="s">
        <v>178</v>
      </c>
      <c r="O42" s="18" t="s">
        <v>202</v>
      </c>
      <c r="P42" s="18" t="s">
        <v>179</v>
      </c>
      <c r="Q42" s="18" t="s">
        <v>58</v>
      </c>
      <c r="R42" s="19">
        <f>(($H$95+($D$95*EXP(((-1)*$E$95)*$R$1)))+($F$95*EXP(((-1)*$G$95)*$R$1)))</f>
        <v>1.9707050756918163</v>
      </c>
      <c r="S42" s="19">
        <f>($D$96+($E$96/(1+EXP((((-1)*$F$96)+($G$96*LN($R$1)))+($H$96*$R$1)))))</f>
        <v>0.78005047529312777</v>
      </c>
      <c r="T42" s="19">
        <f>(($D$97+($E$97*$R$1))+((($F$97-$E$97)*(1-EXP(((-1)*$G$97)*$R$1)))/$G$97))</f>
        <v>7.4005027471078222</v>
      </c>
      <c r="U42" s="19">
        <f>(($H$98+($D$98*EXP(((-1)*$E$98)*$R$1)))+($F$98*EXP(((-1)*$G$98)*$R$1)))</f>
        <v>0.40179192167081568</v>
      </c>
      <c r="V42" s="19">
        <f>(1/((($F$185*($R$1^2))+($E$185*$R$1))+$D$185))</f>
        <v>234.5160760770151</v>
      </c>
      <c r="W42" s="33">
        <f>2*'[1]DATOS SO2 Y CO2'!$B$30*'[1]FE COPERT 4'!W42</f>
        <v>1.4070964564620906E-2</v>
      </c>
      <c r="X42" s="19">
        <f>(44.011*(V42/(12.011+1.008*2)))-(R42/28.011)-(S42/13.85)-((U42*AZ42)/12.011)-((U42*AZ42*BA42)/13.85)</f>
        <v>735.65975180116516</v>
      </c>
      <c r="Y42" s="19">
        <v>85</v>
      </c>
      <c r="Z42" s="19">
        <v>11</v>
      </c>
      <c r="AA42" s="19">
        <v>3</v>
      </c>
      <c r="AB42" s="21">
        <f>(($H$95+($D$95*EXP(((-1)*$E$95)*$AB$1)))+($F$95*EXP(((-1)*$G$95)*$AB$1)))</f>
        <v>0.90919338728298793</v>
      </c>
      <c r="AC42" s="21">
        <f>($D$96+($E$96/(1+EXP((((-1)*$F$96)+($G$96*LN($AB$1)))+($H$96*$AB$1)))))</f>
        <v>0.31769286458407819</v>
      </c>
      <c r="AD42" s="21">
        <f>(($D$97+($E$97*$AB$1))+((($F$97-$E$97)*(1-EXP(((-1)*$G$97)*$AB$1)))/$G$97))</f>
        <v>4.9853939009121309</v>
      </c>
      <c r="AE42" s="21">
        <f>(($H$98+($D$98*EXP(((-1)*$E$98)*$AB$1)))+($F$98*EXP(((-1)*$G$98)*$AB$1)))</f>
        <v>0.17727525844677164</v>
      </c>
      <c r="AF42" s="21">
        <f>(1/((($F$185*($AB$1^2))+($E$185*$AB$1))+$D$185))</f>
        <v>146.36788103218629</v>
      </c>
      <c r="AG42" s="21">
        <f>2*'[1]DATOS SO2 Y CO2'!$B$30*'[1]FE COPERT 4'!AG42</f>
        <v>8.7820728619311776E-3</v>
      </c>
      <c r="AH42" s="21">
        <f>(44.011*(AF42/(12.011+1.008*2)))-(AB42/28.011)-(AC42/13.85)-((AE42*AZ42)/12.011)-((AE42*AZ42*BA42)/13.85)</f>
        <v>459.1743433658088</v>
      </c>
      <c r="AI42" s="21">
        <v>23</v>
      </c>
      <c r="AJ42" s="21">
        <v>9</v>
      </c>
      <c r="AK42" s="21">
        <v>3</v>
      </c>
      <c r="AL42" s="22">
        <f>(($H$95+($D$95*EXP(((-1)*$E$95)*$AL$1)))+($F$95*EXP(((-1)*$G$95)*$AL$1)))</f>
        <v>0.80252592038727633</v>
      </c>
      <c r="AM42" s="22">
        <f>($D$96+($E$96/(1+EXP((((-1)*$F$96)+($G$96*LN($AL$1)))+($H$96*$AL$1)))))</f>
        <v>0.24690163607319077</v>
      </c>
      <c r="AN42" s="22">
        <f>(($D$97+($E$97*$AL$1))+((($F$97-$E$97)*(1-EXP(((-1)*$G$97)*$AL$1)))/$G$97))</f>
        <v>5.0681162213416933</v>
      </c>
      <c r="AO42" s="22">
        <f>(($H$98+($D$98*EXP(((-1)*$E$98)*$AL$1)))+($F$98*EXP(((-1)*$G$98)*$AL$1)))</f>
        <v>0.15815146524900828</v>
      </c>
      <c r="AP42" s="22">
        <f>(1/((($F$185*($AL$1^2))+($E$185*$AL$1))+$D$185))</f>
        <v>190.83605274708506</v>
      </c>
      <c r="AQ42" s="32">
        <f>2*'[1]DATOS SO2 Y CO2'!$B$30*'[1]FE COPERT 4'!AQ42</f>
        <v>1.1450163164825104E-2</v>
      </c>
      <c r="AR42" s="19">
        <f>(44.011*(AP42/(12.011+1.008*2)))-(AL42/28.011)-(AM42/13.85)-((AO42*AZ42)/12.011)-((AO42*AZ42*BA42)/13.85)</f>
        <v>598.70762699574379</v>
      </c>
      <c r="AS42" s="22">
        <v>20</v>
      </c>
      <c r="AT42" s="22">
        <v>7</v>
      </c>
      <c r="AU42" s="22">
        <v>3</v>
      </c>
      <c r="AV42" s="4" t="s">
        <v>198</v>
      </c>
      <c r="AW42" s="4" t="s">
        <v>60</v>
      </c>
      <c r="AX42" s="4" t="s">
        <v>199</v>
      </c>
      <c r="AZ42" s="24">
        <f>+'[1]DATOS SO2 Y CO2'!$D$89</f>
        <v>0.65</v>
      </c>
      <c r="BA42" s="24">
        <f>+'[1]DATOS SO2 Y CO2'!$E$89</f>
        <v>0.4</v>
      </c>
    </row>
    <row r="43" spans="1:53" ht="56.25">
      <c r="A43" s="1" t="s">
        <v>14</v>
      </c>
      <c r="B43" s="1" t="s">
        <v>159</v>
      </c>
      <c r="C43" s="1" t="s">
        <v>20</v>
      </c>
      <c r="D43" s="1" t="s">
        <v>12</v>
      </c>
      <c r="E43" s="18" t="s">
        <v>203</v>
      </c>
      <c r="F43" s="18" t="s">
        <v>204</v>
      </c>
      <c r="G43" s="18" t="s">
        <v>174</v>
      </c>
      <c r="H43" s="18" t="s">
        <v>173</v>
      </c>
      <c r="I43" s="18" t="s">
        <v>176</v>
      </c>
      <c r="J43" s="18" t="s">
        <v>175</v>
      </c>
      <c r="K43" s="18" t="s">
        <v>174</v>
      </c>
      <c r="L43" s="18" t="s">
        <v>54</v>
      </c>
      <c r="M43" s="18" t="s">
        <v>91</v>
      </c>
      <c r="N43" s="18" t="s">
        <v>187</v>
      </c>
      <c r="O43" s="18" t="s">
        <v>205</v>
      </c>
      <c r="P43" s="18" t="s">
        <v>179</v>
      </c>
      <c r="Q43" s="18" t="s">
        <v>58</v>
      </c>
      <c r="R43" s="19">
        <f>(1/((($F$99*($R$1^2))+($E$99*$R$1))+$D$99))</f>
        <v>1.5242772266463005</v>
      </c>
      <c r="S43" s="19">
        <f>($D$100+($E$100/(1+EXP((((-1)*$F$100)+($G$100*LN($R$1)))+($H$100*$R$1)))))</f>
        <v>0.49947270884495976</v>
      </c>
      <c r="T43" s="19">
        <f>(($H$101+($D$101*EXP(((-1)*$E$101)*$R$1)))+($F$101*EXP(((-1)*$G$101)*$R$1)))</f>
        <v>7.8925204049496838</v>
      </c>
      <c r="U43" s="19">
        <f>(($D$102+($E$102*$R$1))+((($F$102-$E$102)*(1-EXP(((-1)*$G$102)*$R$1)))/$G$102))</f>
        <v>0.15720715005345956</v>
      </c>
      <c r="V43" s="19">
        <f>(1/((($F$186*($R$1^2))+($E$186*$R$1))+$D$186))</f>
        <v>221.20468069104342</v>
      </c>
      <c r="W43" s="33">
        <f>2*'[1]DATOS SO2 Y CO2'!$B$30*'[1]FE COPERT 4'!W43</f>
        <v>1.3272280841462605E-2</v>
      </c>
      <c r="X43" s="19">
        <f>(44.011*(V43/(12.011+1.008*2)))-(R43/28.011)-(S43/13.85)-((U43*AZ43)/12.011)-((U43*AZ43*BA43)/13.85)</f>
        <v>693.94805056579537</v>
      </c>
      <c r="Y43" s="19">
        <f>85*(1-36%)</f>
        <v>54.4</v>
      </c>
      <c r="Z43" s="19">
        <v>11</v>
      </c>
      <c r="AA43" s="19">
        <v>3</v>
      </c>
      <c r="AB43" s="21">
        <f>(1/((($F$99*($AB$1^2))+($E$99*$AB$1))+$D$99))</f>
        <v>0.81742319958978371</v>
      </c>
      <c r="AC43" s="21">
        <f>($D$100+($E$100/(1+EXP((((-1)*$F$100)+($G$100*LN($AB$1)))+($H$100*$AB$1)))))</f>
        <v>0.19973220322530633</v>
      </c>
      <c r="AD43" s="21">
        <f>(($H$101+($D$101*EXP(((-1)*$E$101)*$AB$1)))+($F$101*EXP(((-1)*$G$101)*$AB$1)))</f>
        <v>5.199130123429808</v>
      </c>
      <c r="AE43" s="21">
        <f>(($D$102+($E$102*$AB$1))+((($F$102-$E$102)*(1-EXP(((-1)*$G$102)*$AB$1)))/$G$102))</f>
        <v>8.7326940634813166E-2</v>
      </c>
      <c r="AF43" s="21">
        <f>(1/((($F$186*($AB$1^2))+($E$186*$AB$1))+$D$186))</f>
        <v>140.67269683627103</v>
      </c>
      <c r="AG43" s="21">
        <f>2*'[1]DATOS SO2 Y CO2'!$B$30*'[1]FE COPERT 4'!AG43</f>
        <v>8.4403618101762615E-3</v>
      </c>
      <c r="AH43" s="21">
        <f>(44.011*(AF43/(12.011+1.008*2)))-(AB43/28.011)-(AC43/13.85)-((AE43*AZ43)/12.011)-((AE43*AZ43*BA43)/13.85)</f>
        <v>441.3235297395409</v>
      </c>
      <c r="AI43" s="21">
        <f>23*(1-13%)</f>
        <v>20.010000000000002</v>
      </c>
      <c r="AJ43" s="21">
        <v>9</v>
      </c>
      <c r="AK43" s="21">
        <v>3</v>
      </c>
      <c r="AL43" s="22">
        <f>(1/((($F$99*($AL$1^2))+($E$99*$AL$1))+$D$99))</f>
        <v>0.86679238698569483</v>
      </c>
      <c r="AM43" s="22">
        <f>($D$100+($E$100/(1+EXP((((-1)*$F$100)+($G$100*LN($AL$1)))+($H$100*$AL$1)))))</f>
        <v>0.15346584580954767</v>
      </c>
      <c r="AN43" s="22">
        <f>(($H$101+($D$101*EXP(((-1)*$E$101)*$AL$1)))+($F$101*EXP(((-1)*$G$101)*$AL$1)))</f>
        <v>5.0471419314219714</v>
      </c>
      <c r="AO43" s="22">
        <f>(($D$102+($E$102*$AL$1))+((($F$102-$E$102)*(1-EXP(((-1)*$G$102)*$AL$1)))/$G$102))</f>
        <v>0.12680982410614944</v>
      </c>
      <c r="AP43" s="22">
        <f>(1/((($F$186*($AL$1^2))+($E$186*$AL$1))+$D$186))</f>
        <v>180.61300052377774</v>
      </c>
      <c r="AQ43" s="32">
        <f>2*'[1]DATOS SO2 Y CO2'!$B$30*'[1]FE COPERT 4'!AQ43</f>
        <v>1.0836780031426664E-2</v>
      </c>
      <c r="AR43" s="19">
        <f>(44.011*(AP43/(12.011+1.008*2)))-(AL43/28.011)-(AM43/13.85)-((AO43*AZ43)/12.011)-((AO43*AZ43*BA43)/13.85)</f>
        <v>566.63859871632042</v>
      </c>
      <c r="AS43" s="22">
        <f>+(20*(1-7%))</f>
        <v>18.599999999999998</v>
      </c>
      <c r="AT43" s="22">
        <v>6</v>
      </c>
      <c r="AU43" s="22">
        <v>3</v>
      </c>
      <c r="AV43" s="4" t="s">
        <v>198</v>
      </c>
      <c r="AW43" s="4" t="s">
        <v>60</v>
      </c>
      <c r="AX43" s="4" t="s">
        <v>199</v>
      </c>
      <c r="AZ43" s="24">
        <f>+'[1]DATOS SO2 Y CO2'!$D$90</f>
        <v>0.65</v>
      </c>
      <c r="BA43" s="24">
        <f>+'[1]DATOS SO2 Y CO2'!$E$90</f>
        <v>0.4</v>
      </c>
    </row>
    <row r="44" spans="1:53" ht="56.25">
      <c r="A44" s="1" t="s">
        <v>14</v>
      </c>
      <c r="B44" s="1" t="s">
        <v>159</v>
      </c>
      <c r="C44" s="1" t="s">
        <v>20</v>
      </c>
      <c r="D44" s="1" t="s">
        <v>13</v>
      </c>
      <c r="E44" s="18" t="s">
        <v>206</v>
      </c>
      <c r="F44" s="18" t="s">
        <v>207</v>
      </c>
      <c r="G44" s="18" t="s">
        <v>176</v>
      </c>
      <c r="H44" s="18" t="s">
        <v>173</v>
      </c>
      <c r="I44" s="18" t="s">
        <v>176</v>
      </c>
      <c r="J44" s="18" t="s">
        <v>173</v>
      </c>
      <c r="K44" s="18" t="s">
        <v>174</v>
      </c>
      <c r="L44" s="18" t="s">
        <v>54</v>
      </c>
      <c r="M44" s="18" t="s">
        <v>91</v>
      </c>
      <c r="N44" s="18" t="s">
        <v>191</v>
      </c>
      <c r="O44" s="18" t="s">
        <v>208</v>
      </c>
      <c r="P44" s="18" t="s">
        <v>179</v>
      </c>
      <c r="Q44" s="18" t="s">
        <v>58</v>
      </c>
      <c r="R44" s="19">
        <f>(($H$103+($D$103*EXP(((-1)*$E$103)*$R$1)))+($F$103*EXP(((-1)*$G$103)*$R$1)))</f>
        <v>1.9717909242880447</v>
      </c>
      <c r="S44" s="19">
        <f>($D$104+($E$104/(1+EXP((((-1)*$F$104)+($G$104*LN($R$1)))+($H$104*$R$1)))))</f>
        <v>0.45660222437281994</v>
      </c>
      <c r="T44" s="19">
        <f>(($H$105+($D$105*EXP(((-1)*$E$105)*$R$1)))+($F$105*EXP(((-1)*$G$105)*$R$1)))</f>
        <v>6.5688873386643349</v>
      </c>
      <c r="U44" s="19">
        <f>($D$106+($E$106/(1+EXP((((-1)*$F$106)+($G$106*LN($R$1)))+($H$106*$R$1)))))</f>
        <v>0.17734647457180153</v>
      </c>
      <c r="V44" s="19">
        <f>(1/((($F$187*($R$1^2))+($E$187*$R$1))+$D$187))</f>
        <v>235.91025973719596</v>
      </c>
      <c r="W44" s="33">
        <f>2*'[1]DATOS SO2 Y CO2'!$B$30*'[1]FE COPERT 4'!W44</f>
        <v>1.4154615584231757E-2</v>
      </c>
      <c r="X44" s="19">
        <f>(44.011*(V44/(12.011+1.008*2)))-(R44/28.011)-(S44/13.85)-((U44*AZ44)/12.011)-((U44*AZ44*BA44)/13.85)</f>
        <v>740.07370761953996</v>
      </c>
      <c r="Y44" s="19">
        <f>85*(1-44%)</f>
        <v>47.6</v>
      </c>
      <c r="Z44" s="19">
        <v>5</v>
      </c>
      <c r="AA44" s="19">
        <v>3</v>
      </c>
      <c r="AB44" s="21">
        <f>(($H$103+($D$103*EXP(((-1)*$E$103)*$AB$1)))+($F$103*EXP(((-1)*$G$103)*$AB$1)))</f>
        <v>0.85620068668828042</v>
      </c>
      <c r="AC44" s="21">
        <f>($D$104+($E$104/(1+EXP((((-1)*$F$104)+($G$104*LN($AB$1)))+($H$104*$AB$1)))))</f>
        <v>0.17523104207348084</v>
      </c>
      <c r="AD44" s="21">
        <f>(($H$105+($D$105*EXP(((-1)*$E$105)*$AB$1)))+($F$105*EXP(((-1)*$G$105)*$AB$1)))</f>
        <v>4.0285453181202033</v>
      </c>
      <c r="AE44" s="21">
        <f>($D$106+($E$106/(1+EXP((((-1)*$F$106)+($G$106*LN($AB$1)))+($H$106*$AB$1)))))</f>
        <v>7.7195085196632429E-2</v>
      </c>
      <c r="AF44" s="21">
        <f>(1/((($F$187*($AB$1^2))+($E$187*$AB$1))+$D$187))</f>
        <v>150.44607260527465</v>
      </c>
      <c r="AG44" s="21">
        <f>2*'[1]DATOS SO2 Y CO2'!$B$30*'[1]FE COPERT 4'!AG44</f>
        <v>9.0267643563164794E-3</v>
      </c>
      <c r="AH44" s="21">
        <f>(44.011*(AF44/(12.011+1.008*2)))-(AB44/28.011)-(AC44/13.85)-((AE44*AZ44)/12.011)-((AE44*AZ44*BA44)/13.85)</f>
        <v>471.98947379487652</v>
      </c>
      <c r="AI44" s="21">
        <f>23*(1-7%)</f>
        <v>21.389999999999997</v>
      </c>
      <c r="AJ44" s="21">
        <v>5</v>
      </c>
      <c r="AK44" s="21">
        <v>3</v>
      </c>
      <c r="AL44" s="22">
        <f>(($H$103+($D$103*EXP(((-1)*$E$103)*$AL$1)))+($F$103*EXP(((-1)*$G$103)*$AL$1)))</f>
        <v>0.74474844705852672</v>
      </c>
      <c r="AM44" s="22">
        <f>($D$104+($E$104/(1+EXP((((-1)*$F$104)+($G$104*LN($AL$1)))+($H$104*$AL$1)))))</f>
        <v>0.13802215233953813</v>
      </c>
      <c r="AN44" s="22">
        <f>(($H$105+($D$105*EXP(((-1)*$E$105)*$AL$1)))+($F$105*EXP(((-1)*$G$105)*$AL$1)))</f>
        <v>3.7858210949319919</v>
      </c>
      <c r="AO44" s="22">
        <f>($D$106+($E$106/(1+EXP((((-1)*$F$106)+($G$106*LN($AL$1)))+($H$106*$AL$1)))))</f>
        <v>7.3466242641297252E-2</v>
      </c>
      <c r="AP44" s="22">
        <f>(1/((($F$187*($AL$1^2))+($E$187*$AL$1))+$D$187))</f>
        <v>204.29426545996859</v>
      </c>
      <c r="AQ44" s="32">
        <f>2*'[1]DATOS SO2 Y CO2'!$B$30*'[1]FE COPERT 4'!AQ44</f>
        <v>1.2257655927598116E-2</v>
      </c>
      <c r="AR44" s="19">
        <f>(44.011*(AP44/(12.011+1.008*2)))-(AL44/28.011)-(AM44/13.85)-((AO44*AZ44)/12.011)-((AO44*AZ44*BA44)/13.85)</f>
        <v>640.9500607464081</v>
      </c>
      <c r="AS44" s="22">
        <f>20*(1-9%)</f>
        <v>18.2</v>
      </c>
      <c r="AT44" s="22">
        <v>4</v>
      </c>
      <c r="AU44" s="22">
        <v>3</v>
      </c>
      <c r="AV44" s="4" t="s">
        <v>198</v>
      </c>
      <c r="AW44" s="4" t="s">
        <v>60</v>
      </c>
      <c r="AX44" s="4" t="s">
        <v>199</v>
      </c>
      <c r="AZ44" s="24">
        <f>+'[1]DATOS SO2 Y CO2'!$D$91</f>
        <v>0.7</v>
      </c>
      <c r="BA44" s="24">
        <f>+'[1]DATOS SO2 Y CO2'!$E$91</f>
        <v>0.3</v>
      </c>
    </row>
    <row r="45" spans="1:53" ht="22.5">
      <c r="A45" s="1" t="s">
        <v>14</v>
      </c>
      <c r="B45" s="1" t="s">
        <v>159</v>
      </c>
      <c r="C45" s="1" t="s">
        <v>21</v>
      </c>
      <c r="D45" s="1" t="s">
        <v>13</v>
      </c>
      <c r="E45" s="18" t="s">
        <v>209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 t="s">
        <v>58</v>
      </c>
      <c r="R45" s="19"/>
      <c r="S45" s="19"/>
      <c r="T45" s="19"/>
      <c r="U45" s="19"/>
      <c r="V45" s="19"/>
      <c r="W45" s="33"/>
      <c r="X45" s="19">
        <f>(44.011*(V45/(12.011+1.008*1.8)))-(R45/28.011)-(S45/13.85)-((U45*AZ45)/12.011)-((U45*BA45)/13.85)</f>
        <v>0</v>
      </c>
      <c r="Y45" s="19"/>
      <c r="Z45" s="19"/>
      <c r="AA45" s="19"/>
      <c r="AB45" s="21"/>
      <c r="AC45" s="21"/>
      <c r="AD45" s="21"/>
      <c r="AE45" s="21"/>
      <c r="AF45" s="21"/>
      <c r="AG45" s="21"/>
      <c r="AH45" s="21">
        <f>(44.011*(AF45/(12.011+1.008*1.8)))-(AB45/28.011)-(AC45/13.85)-((AE45*AZ45)/12.011)-((AE45*BA45)/13.85)</f>
        <v>0</v>
      </c>
      <c r="AI45" s="21"/>
      <c r="AJ45" s="21"/>
      <c r="AK45" s="21"/>
      <c r="AL45" s="22"/>
      <c r="AM45" s="22"/>
      <c r="AN45" s="22"/>
      <c r="AO45" s="22"/>
      <c r="AP45" s="22"/>
      <c r="AQ45" s="32"/>
      <c r="AR45" s="19">
        <f>(44.011*(AP45/(12.011+1.008*1.8)))-(AL45/28.011)-(AM45/13.85)-((AO45*AZ45)/12.011)-((AO45*BA45)/13.85)</f>
        <v>0</v>
      </c>
      <c r="AS45" s="22"/>
      <c r="AT45" s="22"/>
      <c r="AU45" s="22"/>
      <c r="AV45" s="4" t="s">
        <v>193</v>
      </c>
      <c r="AZ45" s="4">
        <v>0</v>
      </c>
      <c r="BA45" s="4">
        <v>0</v>
      </c>
    </row>
    <row r="46" spans="1:53" ht="22.5">
      <c r="A46" s="1" t="s">
        <v>14</v>
      </c>
      <c r="B46" s="1" t="s">
        <v>159</v>
      </c>
      <c r="C46" s="1" t="s">
        <v>22</v>
      </c>
      <c r="D46" s="1" t="s">
        <v>13</v>
      </c>
      <c r="E46" s="18" t="s">
        <v>209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58</v>
      </c>
      <c r="R46" s="19"/>
      <c r="S46" s="19"/>
      <c r="T46" s="19"/>
      <c r="U46" s="19"/>
      <c r="V46" s="19"/>
      <c r="W46" s="33"/>
      <c r="X46" s="19"/>
      <c r="Y46" s="19"/>
      <c r="Z46" s="19"/>
      <c r="AA46" s="19"/>
      <c r="AB46" s="21"/>
      <c r="AC46" s="21"/>
      <c r="AD46" s="21"/>
      <c r="AE46" s="36"/>
      <c r="AF46" s="36"/>
      <c r="AG46" s="21"/>
      <c r="AH46" s="21"/>
      <c r="AI46" s="36"/>
      <c r="AJ46" s="36"/>
      <c r="AK46" s="36"/>
      <c r="AL46" s="22"/>
      <c r="AM46" s="22"/>
      <c r="AN46" s="22"/>
      <c r="AO46" s="22"/>
      <c r="AP46" s="22"/>
      <c r="AQ46" s="32"/>
      <c r="AR46" s="19"/>
      <c r="AS46" s="22"/>
      <c r="AT46" s="22"/>
      <c r="AU46" s="22"/>
      <c r="AV46" s="4" t="s">
        <v>193</v>
      </c>
      <c r="AZ46" s="4">
        <v>0</v>
      </c>
      <c r="BA46" s="4">
        <v>0</v>
      </c>
    </row>
    <row r="47" spans="1:53" ht="56.25">
      <c r="A47" s="1" t="s">
        <v>15</v>
      </c>
      <c r="B47" s="1" t="s">
        <v>159</v>
      </c>
      <c r="C47" s="1" t="s">
        <v>19</v>
      </c>
      <c r="D47" s="1" t="s">
        <v>3</v>
      </c>
      <c r="E47" s="18" t="s">
        <v>210</v>
      </c>
      <c r="F47" s="18" t="s">
        <v>161</v>
      </c>
      <c r="G47" s="18" t="s">
        <v>162</v>
      </c>
      <c r="H47" s="18" t="s">
        <v>163</v>
      </c>
      <c r="I47" s="18" t="s">
        <v>164</v>
      </c>
      <c r="J47" s="18" t="s">
        <v>52</v>
      </c>
      <c r="K47" s="18" t="s">
        <v>165</v>
      </c>
      <c r="L47" s="18" t="s">
        <v>54</v>
      </c>
      <c r="M47" s="18" t="s">
        <v>55</v>
      </c>
      <c r="N47" s="18" t="s">
        <v>166</v>
      </c>
      <c r="O47" s="18" t="s">
        <v>167</v>
      </c>
      <c r="P47" s="18" t="s">
        <v>168</v>
      </c>
      <c r="Q47" s="18" t="s">
        <v>58</v>
      </c>
      <c r="R47" s="19">
        <v>70</v>
      </c>
      <c r="S47" s="19">
        <v>7</v>
      </c>
      <c r="T47" s="19">
        <v>4.5</v>
      </c>
      <c r="U47" s="19"/>
      <c r="V47" s="19">
        <v>225</v>
      </c>
      <c r="W47" s="33">
        <f>2*'[1]DATOS SO2 Y CO2'!$B$30*'[1]FE COPERT 4'!W47</f>
        <v>1.35E-2</v>
      </c>
      <c r="X47" s="19">
        <f>(44.011*(V47/(12.011+1.008*1.8)))-(R47/28.011)-(S47/13.85)-((U47*AZ47)/12.011)-((AZ47*U47*BA47)/13.85)</f>
        <v>713.24789925778168</v>
      </c>
      <c r="Y47" s="19">
        <v>140</v>
      </c>
      <c r="Z47" s="19">
        <v>6</v>
      </c>
      <c r="AA47" s="19">
        <v>2</v>
      </c>
      <c r="AB47" s="21">
        <v>55</v>
      </c>
      <c r="AC47" s="21">
        <v>5.5</v>
      </c>
      <c r="AD47" s="21">
        <v>7.5</v>
      </c>
      <c r="AE47" s="36"/>
      <c r="AF47" s="36">
        <v>150</v>
      </c>
      <c r="AG47" s="21">
        <f>2*'[1]DATOS SO2 Y CO2'!$B$30*'[1]FE COPERT 4'!AG47</f>
        <v>9.0000000000000011E-3</v>
      </c>
      <c r="AH47" s="21">
        <f>(44.011*(AF47/(12.011+1.008*1.8)))-(AB47/28.011)-(AC47/13.85)-((AE47*AZ47)/12.011)-((AZ47*AE47*BA47)/13.85)</f>
        <v>475.14092886170101</v>
      </c>
      <c r="AI47" s="36">
        <v>110</v>
      </c>
      <c r="AJ47" s="36">
        <v>6</v>
      </c>
      <c r="AK47" s="36">
        <v>2</v>
      </c>
      <c r="AL47" s="22">
        <v>55</v>
      </c>
      <c r="AM47" s="22">
        <v>3.5</v>
      </c>
      <c r="AN47" s="22">
        <v>7.5</v>
      </c>
      <c r="AO47" s="22"/>
      <c r="AP47" s="22">
        <v>165</v>
      </c>
      <c r="AQ47" s="32">
        <f>2*'[1]DATOS SO2 Y CO2'!$B$30*'[1]FE COPERT 4'!AQ47</f>
        <v>9.9000000000000008E-3</v>
      </c>
      <c r="AR47" s="19">
        <f>(44.011*(AP47/(12.011+1.008*1.8)))-(AL47/28.011)-(AM47/13.85)-((AO47*AZ47)/12.011)-((AZ47*AO47*BA47)/13.85)</f>
        <v>523.03548870470229</v>
      </c>
      <c r="AS47" s="22">
        <v>70</v>
      </c>
      <c r="AT47" s="22">
        <v>6</v>
      </c>
      <c r="AU47" s="22">
        <v>2</v>
      </c>
      <c r="AV47" s="4" t="s">
        <v>169</v>
      </c>
      <c r="AW47" s="4" t="s">
        <v>60</v>
      </c>
      <c r="AX47" s="4" t="s">
        <v>170</v>
      </c>
      <c r="AZ47" s="4">
        <v>0</v>
      </c>
      <c r="BA47" s="4">
        <v>0</v>
      </c>
    </row>
    <row r="48" spans="1:53" ht="56.25">
      <c r="A48" s="1" t="s">
        <v>15</v>
      </c>
      <c r="B48" s="1" t="s">
        <v>159</v>
      </c>
      <c r="C48" s="1" t="s">
        <v>19</v>
      </c>
      <c r="D48" s="1" t="s">
        <v>9</v>
      </c>
      <c r="E48" s="18" t="s">
        <v>210</v>
      </c>
      <c r="F48" s="18" t="s">
        <v>161</v>
      </c>
      <c r="G48" s="18" t="s">
        <v>162</v>
      </c>
      <c r="H48" s="18" t="s">
        <v>163</v>
      </c>
      <c r="I48" s="18" t="s">
        <v>164</v>
      </c>
      <c r="J48" s="18" t="s">
        <v>52</v>
      </c>
      <c r="K48" s="18" t="s">
        <v>165</v>
      </c>
      <c r="L48" s="18" t="s">
        <v>54</v>
      </c>
      <c r="M48" s="18" t="s">
        <v>55</v>
      </c>
      <c r="N48" s="18" t="s">
        <v>166</v>
      </c>
      <c r="O48" s="18" t="s">
        <v>167</v>
      </c>
      <c r="P48" s="18" t="s">
        <v>168</v>
      </c>
      <c r="Q48" s="18" t="s">
        <v>58</v>
      </c>
      <c r="R48" s="19">
        <v>70</v>
      </c>
      <c r="S48" s="19">
        <v>7</v>
      </c>
      <c r="T48" s="19">
        <v>4.5</v>
      </c>
      <c r="U48" s="19"/>
      <c r="V48" s="19">
        <v>225</v>
      </c>
      <c r="W48" s="33">
        <f>2*'[1]DATOS SO2 Y CO2'!$B$30*'[1]FE COPERT 4'!W48</f>
        <v>1.35E-2</v>
      </c>
      <c r="X48" s="19">
        <f>(44.011*(V48/(12.011+1.008*1.8)))-(R48/28.011)-(S48/13.85)-((U48*AZ48)/12.011)-((AZ48*U48*BA48)/13.85)</f>
        <v>713.24789925778168</v>
      </c>
      <c r="Y48" s="19">
        <v>140</v>
      </c>
      <c r="Z48" s="19">
        <v>6</v>
      </c>
      <c r="AA48" s="19">
        <v>2</v>
      </c>
      <c r="AB48" s="21">
        <v>55</v>
      </c>
      <c r="AC48" s="21">
        <v>5.5</v>
      </c>
      <c r="AD48" s="21">
        <v>7.5</v>
      </c>
      <c r="AE48" s="36"/>
      <c r="AF48" s="36">
        <v>150</v>
      </c>
      <c r="AG48" s="21">
        <f>2*'[1]DATOS SO2 Y CO2'!$B$30*'[1]FE COPERT 4'!AG48</f>
        <v>9.0000000000000011E-3</v>
      </c>
      <c r="AH48" s="21">
        <f>(44.011*(AF48/(12.011+1.008*1.8)))-(AB48/28.011)-(AC48/13.85)-((AE48*AZ48)/12.011)-((AZ48*AE48*BA48)/13.85)</f>
        <v>475.14092886170101</v>
      </c>
      <c r="AI48" s="36">
        <v>110</v>
      </c>
      <c r="AJ48" s="36">
        <v>6</v>
      </c>
      <c r="AK48" s="36">
        <v>2</v>
      </c>
      <c r="AL48" s="22">
        <v>55</v>
      </c>
      <c r="AM48" s="22">
        <v>3.5</v>
      </c>
      <c r="AN48" s="22">
        <v>7.5</v>
      </c>
      <c r="AO48" s="22"/>
      <c r="AP48" s="22">
        <v>165</v>
      </c>
      <c r="AQ48" s="32">
        <f>2*'[1]DATOS SO2 Y CO2'!$B$30*'[1]FE COPERT 4'!AQ48</f>
        <v>9.9000000000000008E-3</v>
      </c>
      <c r="AR48" s="19">
        <f>(44.011*(AP48/(12.011+1.008*1.8)))-(AL48/28.011)-(AM48/13.85)-((AO48*AZ48)/12.011)-((AZ48*AO48*BA48)/13.85)</f>
        <v>523.03548870470229</v>
      </c>
      <c r="AS48" s="22">
        <v>70</v>
      </c>
      <c r="AT48" s="22">
        <v>6</v>
      </c>
      <c r="AU48" s="22">
        <v>2</v>
      </c>
      <c r="AV48" s="4" t="s">
        <v>169</v>
      </c>
      <c r="AW48" s="4" t="s">
        <v>60</v>
      </c>
      <c r="AX48" s="4" t="s">
        <v>170</v>
      </c>
      <c r="AZ48" s="4">
        <v>0</v>
      </c>
      <c r="BA48" s="4">
        <v>0</v>
      </c>
    </row>
    <row r="49" spans="1:53" ht="56.25">
      <c r="A49" s="1" t="s">
        <v>15</v>
      </c>
      <c r="B49" s="1" t="s">
        <v>159</v>
      </c>
      <c r="C49" s="1" t="s">
        <v>19</v>
      </c>
      <c r="D49" s="1" t="s">
        <v>10</v>
      </c>
      <c r="E49" s="18" t="s">
        <v>210</v>
      </c>
      <c r="F49" s="18" t="s">
        <v>161</v>
      </c>
      <c r="G49" s="18" t="s">
        <v>162</v>
      </c>
      <c r="H49" s="18" t="s">
        <v>163</v>
      </c>
      <c r="I49" s="18" t="s">
        <v>164</v>
      </c>
      <c r="J49" s="18" t="s">
        <v>52</v>
      </c>
      <c r="K49" s="18" t="s">
        <v>165</v>
      </c>
      <c r="L49" s="18" t="s">
        <v>54</v>
      </c>
      <c r="M49" s="18" t="s">
        <v>55</v>
      </c>
      <c r="N49" s="18" t="s">
        <v>166</v>
      </c>
      <c r="O49" s="18" t="s">
        <v>167</v>
      </c>
      <c r="P49" s="18" t="s">
        <v>168</v>
      </c>
      <c r="Q49" s="18" t="s">
        <v>58</v>
      </c>
      <c r="R49" s="19">
        <v>70</v>
      </c>
      <c r="S49" s="19">
        <v>7</v>
      </c>
      <c r="T49" s="19">
        <v>4.5</v>
      </c>
      <c r="U49" s="19"/>
      <c r="V49" s="19">
        <v>225</v>
      </c>
      <c r="W49" s="33">
        <f>2*'[1]DATOS SO2 Y CO2'!$B$30*'[1]FE COPERT 4'!W49</f>
        <v>1.35E-2</v>
      </c>
      <c r="X49" s="19">
        <f>(44.011*(V49/(12.011+1.008*1.8)))-(R49/28.011)-(S49/13.85)-((U49*AZ49)/12.011)-((AZ49*U49*BA49)/13.85)</f>
        <v>713.24789925778168</v>
      </c>
      <c r="Y49" s="19">
        <v>140</v>
      </c>
      <c r="Z49" s="19">
        <v>6</v>
      </c>
      <c r="AA49" s="19">
        <v>2</v>
      </c>
      <c r="AB49" s="21">
        <v>55</v>
      </c>
      <c r="AC49" s="21">
        <v>5.5</v>
      </c>
      <c r="AD49" s="21">
        <v>7.5</v>
      </c>
      <c r="AE49" s="36"/>
      <c r="AF49" s="36">
        <v>150</v>
      </c>
      <c r="AG49" s="21">
        <f>2*'[1]DATOS SO2 Y CO2'!$B$30*'[1]FE COPERT 4'!AG49</f>
        <v>9.0000000000000011E-3</v>
      </c>
      <c r="AH49" s="21">
        <f>(44.011*(AF49/(12.011+1.008*1.8)))-(AB49/28.011)-(AC49/13.85)-((AE49*AZ49)/12.011)-((AZ49*AE49*BA49)/13.85)</f>
        <v>475.14092886170101</v>
      </c>
      <c r="AI49" s="36">
        <v>110</v>
      </c>
      <c r="AJ49" s="36">
        <v>6</v>
      </c>
      <c r="AK49" s="36">
        <v>2</v>
      </c>
      <c r="AL49" s="22">
        <v>55</v>
      </c>
      <c r="AM49" s="22">
        <v>3.5</v>
      </c>
      <c r="AN49" s="22">
        <v>7.5</v>
      </c>
      <c r="AO49" s="22"/>
      <c r="AP49" s="22">
        <v>165</v>
      </c>
      <c r="AQ49" s="32">
        <f>2*'[1]DATOS SO2 Y CO2'!$B$30*'[1]FE COPERT 4'!AQ49</f>
        <v>9.9000000000000008E-3</v>
      </c>
      <c r="AR49" s="19">
        <f>(44.011*(AP49/(12.011+1.008*1.8)))-(AL49/28.011)-(AM49/13.85)-((AO49*AZ49)/12.011)-((AZ49*AO49*BA49)/13.85)</f>
        <v>523.03548870470229</v>
      </c>
      <c r="AS49" s="22">
        <v>70</v>
      </c>
      <c r="AT49" s="22">
        <v>6</v>
      </c>
      <c r="AU49" s="22">
        <v>2</v>
      </c>
      <c r="AV49" s="4" t="s">
        <v>169</v>
      </c>
      <c r="AW49" s="4" t="s">
        <v>60</v>
      </c>
      <c r="AX49" s="4" t="s">
        <v>170</v>
      </c>
      <c r="AZ49" s="4">
        <v>0</v>
      </c>
      <c r="BA49" s="4">
        <v>0</v>
      </c>
    </row>
    <row r="50" spans="1:53" ht="56.25">
      <c r="A50" s="1" t="s">
        <v>15</v>
      </c>
      <c r="B50" s="1" t="s">
        <v>159</v>
      </c>
      <c r="C50" s="1" t="s">
        <v>20</v>
      </c>
      <c r="D50" s="1" t="s">
        <v>3</v>
      </c>
      <c r="E50" s="18" t="s">
        <v>211</v>
      </c>
      <c r="F50" s="18" t="s">
        <v>212</v>
      </c>
      <c r="G50" s="18" t="s">
        <v>176</v>
      </c>
      <c r="H50" s="18" t="s">
        <v>176</v>
      </c>
      <c r="I50" s="18" t="s">
        <v>176</v>
      </c>
      <c r="J50" s="18" t="s">
        <v>176</v>
      </c>
      <c r="K50" s="18" t="s">
        <v>176</v>
      </c>
      <c r="L50" s="18" t="s">
        <v>54</v>
      </c>
      <c r="M50" s="18" t="s">
        <v>91</v>
      </c>
      <c r="N50" s="18" t="s">
        <v>213</v>
      </c>
      <c r="O50" s="18" t="s">
        <v>197</v>
      </c>
      <c r="P50" s="18" t="s">
        <v>179</v>
      </c>
      <c r="Q50" s="18" t="s">
        <v>58</v>
      </c>
      <c r="R50" s="34">
        <f>(($H$113+($D$113*EXP(((-1)*$E$113)*$R$1)))+($F$113*EXP(((-1)*$G$113)*$R$1)))</f>
        <v>4.4581950456381287</v>
      </c>
      <c r="S50" s="34">
        <f>(($H$114+($D$114*EXP(((-1)*$E$114)*$R$1)))+($F$114*EXP(((-1)*$G$114)*$R$1)))</f>
        <v>1.6338846158195177</v>
      </c>
      <c r="T50" s="34">
        <f>(($H$115+($D$115*EXP(((-1)*$E$115)*$R$1)))+($F$115*EXP(((-1)*$G$115)*$R$1)))</f>
        <v>17.885946888398536</v>
      </c>
      <c r="U50" s="34">
        <f>(($H$116+($D$116*EXP(((-1)*$E$116)*$R$1)))+($F$116*EXP(((-1)*$G$116)*$R$1)))</f>
        <v>0.91102149733678828</v>
      </c>
      <c r="V50" s="34">
        <f>(($H$188+($D$188*EXP(((-1)*$E$188)*$R$1)))+($F$188*EXP(((-1)*$G$188)*$R$1)))</f>
        <v>471.24096415833361</v>
      </c>
      <c r="W50" s="33">
        <f>2*'[1]DATOS SO2 Y CO2'!$B$30*'[1]FE COPERT 4'!W50</f>
        <v>2.8274457849500018E-2</v>
      </c>
      <c r="X50" s="19">
        <f>(44.011*(V50/(12.011+1.008*2)))-(R50/28.011)-(S50/13.85)-((U50*AZ50)/12.011)-((U50*AZ50*BA50)/13.85)</f>
        <v>1478.220414678676</v>
      </c>
      <c r="Y50" s="34">
        <v>175</v>
      </c>
      <c r="Z50" s="34">
        <v>30</v>
      </c>
      <c r="AA50" s="19">
        <v>3</v>
      </c>
      <c r="AB50" s="36">
        <f>(($H$113+($D$113*EXP(((-1)*$E$113)*$AB$1)))+($F$113*EXP(((-1)*$G$113)*$AB$1)))</f>
        <v>1.9576574812793743</v>
      </c>
      <c r="AC50" s="36">
        <f>(($H$114+($D$114*EXP(((-1)*$E$114)*$AB$1)))+($F$114*EXP(((-1)*$G$114)*$AB$1)))</f>
        <v>0.60117471078352991</v>
      </c>
      <c r="AD50" s="36">
        <f>(($H$115+($D$115*EXP(((-1)*$E$115)*$AB$1)))+($F$115*EXP(((-1)*$G$115)*$AB$1)))</f>
        <v>11.153897140947903</v>
      </c>
      <c r="AE50" s="21">
        <f>(($H$116+($D$116*EXP(((-1)*$E$116)*$AB$1)))+($F$116*EXP(((-1)*$G$116)*$AB$1)))</f>
        <v>0.43102986461618581</v>
      </c>
      <c r="AF50" s="21">
        <f>(($H$188+($D$188*EXP(((-1)*$E$188)*$AB$1)))+($F$188*EXP(((-1)*$G$188)*$AB$1)))</f>
        <v>262.076580117601</v>
      </c>
      <c r="AG50" s="21">
        <f>2*'[1]DATOS SO2 Y CO2'!$B$30*'[1]FE COPERT 4'!AG50</f>
        <v>1.5724594807056059E-2</v>
      </c>
      <c r="AH50" s="21">
        <f>(44.011*(AF50/(12.011+1.008*2)))-(AB50/28.011)-(AC50/13.85)-((AE50*AZ50)/12.011)-((AE50*AZ50*BA50)/13.85)</f>
        <v>822.14563876777345</v>
      </c>
      <c r="AI50" s="21">
        <v>80</v>
      </c>
      <c r="AJ50" s="21">
        <v>30</v>
      </c>
      <c r="AK50" s="21">
        <v>3</v>
      </c>
      <c r="AL50" s="37">
        <f>(($H$113+($D$113*EXP(((-1)*$E$113)*$AL$1)))+($F$113*EXP(((-1)*$G$113)*$AL$1)))</f>
        <v>1.6790728069249077</v>
      </c>
      <c r="AM50" s="37">
        <f>(($H$114+($D$114*EXP(((-1)*$E$114)*$AL$1)))+($F$114*EXP(((-1)*$G$114)*$AL$1)))</f>
        <v>0.37822912335422165</v>
      </c>
      <c r="AN50" s="37">
        <f>(($H$115+($D$115*EXP(((-1)*$E$115)*$AL$1)))+($F$115*EXP(((-1)*$G$115)*$AL$1)))</f>
        <v>10.092251709112851</v>
      </c>
      <c r="AO50" s="37">
        <f>(($H$116+($D$116*EXP(((-1)*$E$116)*$AL$1)))+($F$116*EXP(((-1)*$G$116)*$AL$1)))</f>
        <v>0.36604033117388168</v>
      </c>
      <c r="AP50" s="37">
        <f>(($H$188+($D$188*EXP(((-1)*$E$188)*$AL$1)))+($F$188*EXP(((-1)*$G$188)*$AL$1)))</f>
        <v>234.94432351212313</v>
      </c>
      <c r="AQ50" s="32">
        <f>2*'[1]DATOS SO2 Y CO2'!$B$30*'[1]FE COPERT 4'!AQ50</f>
        <v>1.4096659410727389E-2</v>
      </c>
      <c r="AR50" s="19">
        <f>(44.011*(AP50/(12.011+1.008*2)))-(AL50/28.011)-(AM50/13.85)-((AO50*AZ50)/12.011)-((AO50*AZ50*BA50)/13.85)</f>
        <v>737.04631834349345</v>
      </c>
      <c r="AS50" s="37">
        <v>70</v>
      </c>
      <c r="AT50" s="37">
        <v>30</v>
      </c>
      <c r="AU50" s="37">
        <v>3</v>
      </c>
      <c r="AV50" s="4" t="s">
        <v>214</v>
      </c>
      <c r="AW50" s="4" t="s">
        <v>60</v>
      </c>
      <c r="AX50" s="4" t="s">
        <v>199</v>
      </c>
      <c r="AZ50" s="24">
        <f>+'[1]DATOS SO2 Y CO2'!$D$88</f>
        <v>0.5</v>
      </c>
      <c r="BA50" s="24">
        <f>+'[1]DATOS SO2 Y CO2'!$E$88</f>
        <v>0.8</v>
      </c>
    </row>
    <row r="51" spans="1:53" ht="56.25">
      <c r="A51" s="1" t="s">
        <v>15</v>
      </c>
      <c r="B51" s="1" t="s">
        <v>159</v>
      </c>
      <c r="C51" s="1" t="s">
        <v>20</v>
      </c>
      <c r="D51" s="1" t="s">
        <v>11</v>
      </c>
      <c r="E51" s="18" t="s">
        <v>215</v>
      </c>
      <c r="F51" s="18" t="s">
        <v>216</v>
      </c>
      <c r="G51" s="18" t="s">
        <v>176</v>
      </c>
      <c r="H51" s="18" t="s">
        <v>176</v>
      </c>
      <c r="I51" s="18" t="s">
        <v>176</v>
      </c>
      <c r="J51" s="18" t="s">
        <v>176</v>
      </c>
      <c r="K51" s="18" t="s">
        <v>176</v>
      </c>
      <c r="L51" s="18" t="s">
        <v>54</v>
      </c>
      <c r="M51" s="18" t="s">
        <v>91</v>
      </c>
      <c r="N51" s="18" t="s">
        <v>213</v>
      </c>
      <c r="O51" s="18" t="s">
        <v>202</v>
      </c>
      <c r="P51" s="18" t="s">
        <v>179</v>
      </c>
      <c r="Q51" s="18" t="s">
        <v>58</v>
      </c>
      <c r="R51" s="34">
        <f>(($H$117+($D$117*EXP(((-1)*$E$117)*$R$1)))+($F$117*EXP(((-1)*$G$117)*$R$1)))</f>
        <v>3.446032664592396</v>
      </c>
      <c r="S51" s="34">
        <f>(($H$118+($D$118*EXP(((-1)*$E$118)*$R$1)))+($F$118*EXP(((-1)*$G$118)*$R$1)))</f>
        <v>1.3759581109581398</v>
      </c>
      <c r="T51" s="34">
        <f>(($H$119+($D$119*EXP(((-1)*$E$119)*$R$1)))+($F$119*EXP(((-1)*$G$119)*$R$1)))</f>
        <v>12.690823848152228</v>
      </c>
      <c r="U51" s="34">
        <f>(($H$120+($D$120*EXP(((-1)*$E$120)*$R$1)))+($F$120*EXP(((-1)*$G$120)*$R$1)))</f>
        <v>0.73041113654908651</v>
      </c>
      <c r="V51" s="34">
        <f>(($H$189+($D$189*EXP(((-1)*$E$189)*$R$1)))+($F$189*EXP(((-1)*$G$189)*$R$1)))</f>
        <v>396.64000935474974</v>
      </c>
      <c r="W51" s="33">
        <f>2*'[1]DATOS SO2 Y CO2'!$B$30*'[1]FE COPERT 4'!W51</f>
        <v>2.3798400561284985E-2</v>
      </c>
      <c r="X51" s="19">
        <f>(44.011*(V51/(12.011+1.008*2)))-(R51/28.011)-(S51/13.85)-((U51*AZ51)/12.011)-((U51*AZ51*BA51)/13.85)</f>
        <v>1244.2188250408622</v>
      </c>
      <c r="Y51" s="34">
        <v>175</v>
      </c>
      <c r="Z51" s="34">
        <v>11</v>
      </c>
      <c r="AA51" s="19">
        <v>3</v>
      </c>
      <c r="AB51" s="36">
        <f>(($H$117+($D$117*EXP(((-1)*$E$117)*$AB$1)))+($F$117*EXP(((-1)*$G$117)*$AB$1)))</f>
        <v>1.6050042524959185</v>
      </c>
      <c r="AC51" s="36">
        <f>(($H$118+($D$118*EXP(((-1)*$E$118)*$AB$1)))+($F$118*EXP(((-1)*$G$118)*$AB$1)))</f>
        <v>0.54824512865830122</v>
      </c>
      <c r="AD51" s="36">
        <f>(($H$119+($D$119*EXP(((-1)*$E$119)*$AB$1)))+($F$119*EXP(((-1)*$G$119)*$AB$1)))</f>
        <v>7.8105122329996766</v>
      </c>
      <c r="AE51" s="21">
        <f>(($H$120+($D$120*EXP(((-1)*$E$120)*$AB$1)))+($F$120*EXP(((-1)*$G$120)*$AB$1)))</f>
        <v>0.30704163099060267</v>
      </c>
      <c r="AF51" s="21">
        <f>(($H$189+($D$189*EXP(((-1)*$E$189)*$AB$1)))+($F$189*EXP(((-1)*$G$189)*$AB$1)))</f>
        <v>228.7886053041432</v>
      </c>
      <c r="AG51" s="21">
        <f>2*'[1]DATOS SO2 Y CO2'!$B$30*'[1]FE COPERT 4'!AG51</f>
        <v>1.3727316318248592E-2</v>
      </c>
      <c r="AH51" s="21">
        <f>(44.011*(AF51/(12.011+1.008*2)))-(AB51/28.011)-(AC51/13.85)-((AE51*AZ51)/12.011)-((AE51*AZ51*BA51)/13.85)</f>
        <v>717.72598531813765</v>
      </c>
      <c r="AI51" s="21">
        <v>80</v>
      </c>
      <c r="AJ51" s="21">
        <v>9</v>
      </c>
      <c r="AK51" s="21">
        <v>3</v>
      </c>
      <c r="AL51" s="37">
        <f>(($H$117+($D$117*EXP(((-1)*$E$117)*$AL$1)))+($F$117*EXP(((-1)*$G$117)*$AL$1)))</f>
        <v>1.3770344981001836</v>
      </c>
      <c r="AM51" s="37">
        <f>(($H$118+($D$118*EXP(((-1)*$E$118)*$AL$1)))+($F$118*EXP(((-1)*$G$118)*$AL$1)))</f>
        <v>0.38899156300617338</v>
      </c>
      <c r="AN51" s="37">
        <f>(($H$119+($D$119*EXP(((-1)*$E$119)*$AL$1)))+($F$119*EXP(((-1)*$G$119)*$AL$1)))</f>
        <v>7.0702069410972692</v>
      </c>
      <c r="AO51" s="37">
        <f>(($H$120+($D$120*EXP(((-1)*$E$120)*$AL$1)))+($F$120*EXP(((-1)*$G$120)*$AL$1)))</f>
        <v>0.25458528970482003</v>
      </c>
      <c r="AP51" s="37">
        <f>(($H$189+($D$189*EXP(((-1)*$E$189)*$AL$1)))+($F$189*EXP(((-1)*$G$189)*$AL$1)))</f>
        <v>205.54231627611642</v>
      </c>
      <c r="AQ51" s="32">
        <f>2*'[1]DATOS SO2 Y CO2'!$B$30*'[1]FE COPERT 4'!AQ51</f>
        <v>1.2332538976566986E-2</v>
      </c>
      <c r="AR51" s="19">
        <f>(44.011*(AP51/(12.011+1.008*2)))-(AL51/28.011)-(AM51/13.85)-((AO51*AZ51)/12.011)-((AO51*AZ51*BA51)/13.85)</f>
        <v>644.8120803343096</v>
      </c>
      <c r="AS51" s="37">
        <v>70</v>
      </c>
      <c r="AT51" s="37">
        <v>7</v>
      </c>
      <c r="AU51" s="37">
        <v>3</v>
      </c>
      <c r="AV51" s="4" t="s">
        <v>214</v>
      </c>
      <c r="AW51" s="4" t="s">
        <v>60</v>
      </c>
      <c r="AX51" s="4" t="s">
        <v>199</v>
      </c>
      <c r="AZ51" s="24">
        <f>+'[1]DATOS SO2 Y CO2'!$D$89</f>
        <v>0.65</v>
      </c>
      <c r="BA51" s="24">
        <f>+'[1]DATOS SO2 Y CO2'!$E$89</f>
        <v>0.4</v>
      </c>
    </row>
    <row r="52" spans="1:53" ht="56.25">
      <c r="A52" s="1" t="s">
        <v>15</v>
      </c>
      <c r="B52" s="1" t="s">
        <v>159</v>
      </c>
      <c r="C52" s="1" t="s">
        <v>20</v>
      </c>
      <c r="D52" s="1" t="s">
        <v>12</v>
      </c>
      <c r="E52" s="18" t="s">
        <v>217</v>
      </c>
      <c r="F52" s="18" t="s">
        <v>218</v>
      </c>
      <c r="G52" s="18" t="s">
        <v>174</v>
      </c>
      <c r="H52" s="18" t="s">
        <v>176</v>
      </c>
      <c r="I52" s="18" t="s">
        <v>176</v>
      </c>
      <c r="J52" s="18" t="s">
        <v>175</v>
      </c>
      <c r="K52" s="18" t="s">
        <v>176</v>
      </c>
      <c r="L52" s="18" t="s">
        <v>54</v>
      </c>
      <c r="M52" s="18" t="s">
        <v>91</v>
      </c>
      <c r="N52" s="18" t="s">
        <v>219</v>
      </c>
      <c r="O52" s="18" t="s">
        <v>205</v>
      </c>
      <c r="P52" s="18" t="s">
        <v>179</v>
      </c>
      <c r="Q52" s="18" t="s">
        <v>58</v>
      </c>
      <c r="R52" s="34">
        <f>(1/((($F$121*($R$1^2))+($E$121*$R$1))+$D$121))</f>
        <v>2.6163695710557064</v>
      </c>
      <c r="S52" s="34">
        <f>(($H$122+($D$122*EXP(((-1)*$E$122)*$R$1)))+($F$122*EXP(((-1)*$G$122)*$R$1)))</f>
        <v>0.88669332335640549</v>
      </c>
      <c r="T52" s="34">
        <f>(($H$123+($D$123*EXP(((-1)*$E$123)*$R$1)))+($F$123*EXP(((-1)*$G$123)*$R$1)))</f>
        <v>13.515191584701704</v>
      </c>
      <c r="U52" s="34">
        <f>(($D$124+($E$124*$R$1))+((($F$124-$E$124)*(1-EXP(((-1)*$G$124)*$R$1)))/$G$124))</f>
        <v>0.28512884068369049</v>
      </c>
      <c r="V52" s="34">
        <f>(($H$190+($D$190*EXP(((-1)*$E$190)*$R$1)))+($F$190*EXP(((-1)*$G$190)*$R$1)))</f>
        <v>376.19360391459355</v>
      </c>
      <c r="W52" s="33">
        <f>2*'[1]DATOS SO2 Y CO2'!$B$30*'[1]FE COPERT 4'!W52</f>
        <v>2.2571616234875615E-2</v>
      </c>
      <c r="X52" s="19">
        <f>(44.011*(V52/(12.011+1.008*2)))-(R52/28.011)-(S52/13.85)-((U52*AZ52)/12.011)-((U52*AZ52*BA52)/13.85)</f>
        <v>1180.1637528772608</v>
      </c>
      <c r="Y52" s="34">
        <f>175*(1-36%)</f>
        <v>112</v>
      </c>
      <c r="Z52" s="34">
        <v>11</v>
      </c>
      <c r="AA52" s="19">
        <v>3</v>
      </c>
      <c r="AB52" s="36">
        <f>(1/((($F$121*($AB$1^2))+($E$121*$AB$1))+$D$121))</f>
        <v>1.3741375962258573</v>
      </c>
      <c r="AC52" s="36">
        <f>(($H$122+($D$122*EXP(((-1)*$E$122)*$AB$1)))+($F$122*EXP(((-1)*$G$122)*$AB$1)))</f>
        <v>0.35124288083399935</v>
      </c>
      <c r="AD52" s="36">
        <f>(($H$123+($D$123*EXP(((-1)*$E$123)*$AB$1)))+($F$123*EXP(((-1)*$G$123)*$AB$1)))</f>
        <v>8.1359963468535437</v>
      </c>
      <c r="AE52" s="21">
        <f>(($D$124+($E$124*$AB$1))+((($F$124-$E$124)*(1-EXP(((-1)*$G$124)*$AB$1)))/$G$124))</f>
        <v>0.14529340459155382</v>
      </c>
      <c r="AF52" s="21">
        <f>(($H$190+($D$190*EXP(((-1)*$E$190)*$AB$1)))+($F$190*EXP(((-1)*$G$190)*$AB$1)))</f>
        <v>222.86062717326968</v>
      </c>
      <c r="AG52" s="21">
        <f>2*'[1]DATOS SO2 Y CO2'!$B$30*'[1]FE COPERT 4'!AG52</f>
        <v>1.337163763039618E-2</v>
      </c>
      <c r="AH52" s="21">
        <f>(44.011*(AF52/(12.011+1.008*2)))-(AB52/28.011)-(AC52/13.85)-((AE52*AZ52)/12.011)-((AE52*AZ52*BA52)/13.85)</f>
        <v>699.16066557558486</v>
      </c>
      <c r="AI52" s="21">
        <f>80*(1-13%)</f>
        <v>69.599999999999994</v>
      </c>
      <c r="AJ52" s="21">
        <v>9</v>
      </c>
      <c r="AK52" s="21">
        <v>3</v>
      </c>
      <c r="AL52" s="37">
        <f>(1/((($F$121*($AL$1^2))+($E$121*$AL$1))+$D$121))</f>
        <v>1.3840636565975524</v>
      </c>
      <c r="AM52" s="37">
        <f>(($H$122+($D$122*EXP(((-1)*$E$122)*$AL$1)))+($F$122*EXP(((-1)*$G$122)*$AL$1)))</f>
        <v>0.23217290707873958</v>
      </c>
      <c r="AN52" s="37">
        <f>(($H$123+($D$123*EXP(((-1)*$E$123)*$AL$1)))+($F$123*EXP(((-1)*$G$123)*$AL$1)))</f>
        <v>7.342790094618409</v>
      </c>
      <c r="AO52" s="37">
        <f>(($D$124+($E$124*$AL$1))+((($F$124-$E$124)*(1-EXP(((-1)*$G$124)*$AL$1)))/$G$124))</f>
        <v>0.20703414776263829</v>
      </c>
      <c r="AP52" s="37">
        <f>(($H$190+($D$190*EXP(((-1)*$E$190)*$AL$1)))+($F$190*EXP(((-1)*$G$190)*$AL$1)))</f>
        <v>199.62578961951695</v>
      </c>
      <c r="AQ52" s="32">
        <f>2*'[1]DATOS SO2 Y CO2'!$B$30*'[1]FE COPERT 4'!AQ52</f>
        <v>1.1977547377171016E-2</v>
      </c>
      <c r="AR52" s="19">
        <f>(44.011*(AP52/(12.011+1.008*2)))-(AL52/28.011)-(AM52/13.85)-((AO52*AZ52)/12.011)-((AO52*AZ52*BA52)/13.85)</f>
        <v>626.26297257604892</v>
      </c>
      <c r="AS52" s="37">
        <f>70*(1-7%)</f>
        <v>65.099999999999994</v>
      </c>
      <c r="AT52" s="37">
        <v>6</v>
      </c>
      <c r="AU52" s="37">
        <v>3</v>
      </c>
      <c r="AV52" s="4" t="s">
        <v>214</v>
      </c>
      <c r="AW52" s="4" t="s">
        <v>60</v>
      </c>
      <c r="AX52" s="4" t="s">
        <v>199</v>
      </c>
      <c r="AZ52" s="24">
        <f>+'[1]DATOS SO2 Y CO2'!$D$90</f>
        <v>0.65</v>
      </c>
      <c r="BA52" s="24">
        <f>+'[1]DATOS SO2 Y CO2'!$E$90</f>
        <v>0.4</v>
      </c>
    </row>
    <row r="53" spans="1:53" ht="56.25">
      <c r="A53" s="1" t="s">
        <v>15</v>
      </c>
      <c r="B53" s="1" t="s">
        <v>159</v>
      </c>
      <c r="C53" s="1" t="s">
        <v>20</v>
      </c>
      <c r="D53" s="1" t="s">
        <v>13</v>
      </c>
      <c r="E53" s="18" t="s">
        <v>220</v>
      </c>
      <c r="F53" s="18" t="s">
        <v>221</v>
      </c>
      <c r="G53" s="18" t="s">
        <v>173</v>
      </c>
      <c r="H53" s="18" t="s">
        <v>176</v>
      </c>
      <c r="I53" s="18" t="s">
        <v>176</v>
      </c>
      <c r="J53" s="18" t="s">
        <v>176</v>
      </c>
      <c r="K53" s="18" t="s">
        <v>176</v>
      </c>
      <c r="L53" s="18" t="s">
        <v>54</v>
      </c>
      <c r="M53" s="18" t="s">
        <v>91</v>
      </c>
      <c r="N53" s="18" t="s">
        <v>222</v>
      </c>
      <c r="O53" s="18" t="s">
        <v>208</v>
      </c>
      <c r="P53" s="18" t="s">
        <v>179</v>
      </c>
      <c r="Q53" s="18" t="s">
        <v>58</v>
      </c>
      <c r="R53" s="34">
        <f>($D$125+($E$125/(1+EXP((((-1)*$F$125)+($G$125*LN($R$1)))+($H$125*$R$1)))))</f>
        <v>3.5176478893310525</v>
      </c>
      <c r="S53" s="34">
        <f>(($H$126+($D$126*EXP(((-1)*$E$126)*$R$1)))+($F$126*EXP(((-1)*$G$126)*$R$1)))</f>
        <v>0.82058934890095403</v>
      </c>
      <c r="T53" s="34">
        <f>(($H$127+($D$127*EXP(((-1)*$E$127)*$R$1)))+($F$127*EXP(((-1)*$G$127)*$R$1)))</f>
        <v>10.927606447620523</v>
      </c>
      <c r="U53" s="34">
        <f>(($H$128+($D$128*EXP(((-1)*$E$128)*$R$1)))+($F$128*EXP(((-1)*$G$128)*$R$1)))</f>
        <v>0.32064044635139244</v>
      </c>
      <c r="V53" s="34">
        <f>(($H$191+($D$191*EXP(((-1)*$E$191)*$R$1)))+($F$191*EXP(((-1)*$G$191)*$R$1)))</f>
        <v>394.39186802517759</v>
      </c>
      <c r="W53" s="33">
        <f>2*'[1]DATOS SO2 Y CO2'!$B$30*'[1]FE COPERT 4'!W53</f>
        <v>2.3663512081510657E-2</v>
      </c>
      <c r="X53" s="19">
        <f>(44.011*(V53/(12.011+1.008*2)))-(R53/28.011)-(S53/13.85)-((U53*AZ53)/12.011)-((U53*AZ53*BA53)/13.85)</f>
        <v>1237.2323082133394</v>
      </c>
      <c r="Y53" s="34">
        <f>175*(1-44%)</f>
        <v>98.000000000000014</v>
      </c>
      <c r="Z53" s="19">
        <v>5</v>
      </c>
      <c r="AA53" s="19">
        <v>3</v>
      </c>
      <c r="AB53" s="36">
        <f>($D$125+($E$125/(1+EXP((((-1)*$F$125)+($G$125*LN($AB$1)))+($H$125*$AB$1)))))</f>
        <v>1.513771162697984</v>
      </c>
      <c r="AC53" s="36">
        <f>(($H$126+($D$126*EXP(((-1)*$E$126)*$AB$1)))+($F$126*EXP(((-1)*$G$126)*$AB$1)))</f>
        <v>0.31276396493798964</v>
      </c>
      <c r="AD53" s="36">
        <f>(($H$127+($D$127*EXP(((-1)*$E$127)*$AB$1)))+($F$127*EXP(((-1)*$G$127)*$AB$1)))</f>
        <v>6.2646287972521506</v>
      </c>
      <c r="AE53" s="21">
        <f>(($H$128+($D$128*EXP(((-1)*$E$128)*$AB$1)))+($F$128*EXP(((-1)*$G$128)*$AB$1)))</f>
        <v>0.1357682571509001</v>
      </c>
      <c r="AF53" s="21">
        <f>(($H$191+($D$191*EXP(((-1)*$E$191)*$AB$1)))+($F$191*EXP(((-1)*$G$191)*$AB$1)))</f>
        <v>229.35305741985371</v>
      </c>
      <c r="AG53" s="21">
        <f>2*'[1]DATOS SO2 Y CO2'!$B$30*'[1]FE COPERT 4'!AG53</f>
        <v>1.3761183445191224E-2</v>
      </c>
      <c r="AH53" s="21">
        <f>(44.011*(AF53/(12.011+1.008*2)))-(AB53/28.011)-(AC53/13.85)-((AE53*AZ53)/12.011)-((AE53*AZ53*BA53)/13.85)</f>
        <v>719.52967394256257</v>
      </c>
      <c r="AI53" s="21">
        <f>80*(1-7%)</f>
        <v>74.399999999999991</v>
      </c>
      <c r="AJ53" s="21">
        <v>5</v>
      </c>
      <c r="AK53" s="21">
        <v>3</v>
      </c>
      <c r="AL53" s="37">
        <f>($D$125+($E$125/(1+EXP((((-1)*$F$125)+($G$125*LN($AL$1)))+($H$125*$AL$1)))))</f>
        <v>1.2886121252840415</v>
      </c>
      <c r="AM53" s="37">
        <f>(($H$126+($D$126*EXP(((-1)*$E$126)*$AL$1)))+($F$126*EXP(((-1)*$G$126)*$AL$1)))</f>
        <v>0.20445176358126002</v>
      </c>
      <c r="AN53" s="37">
        <f>(($H$127+($D$127*EXP(((-1)*$E$127)*$AL$1)))+($F$127*EXP(((-1)*$G$127)*$AL$1)))</f>
        <v>5.6714968096757623</v>
      </c>
      <c r="AO53" s="37">
        <f>(($H$128+($D$128*EXP(((-1)*$E$128)*$AL$1)))+($F$128*EXP(((-1)*$G$128)*$AL$1)))</f>
        <v>0.1074163304606312</v>
      </c>
      <c r="AP53" s="37">
        <f>(($H$191+($D$191*EXP(((-1)*$E$191)*$AL$1)))+($F$191*EXP(((-1)*$G$191)*$AL$1)))</f>
        <v>203.78843584731536</v>
      </c>
      <c r="AQ53" s="32">
        <f>2*'[1]DATOS SO2 Y CO2'!$B$30*'[1]FE COPERT 4'!AQ53</f>
        <v>1.2227306150838922E-2</v>
      </c>
      <c r="AR53" s="19">
        <f>(44.011*(AP53/(12.011+1.008*2)))-(AL53/28.011)-(AM53/13.85)-((AO53*AZ53)/12.011)-((AO53*AZ53*BA53)/13.85)</f>
        <v>639.33626809637815</v>
      </c>
      <c r="AS53" s="37">
        <f>70*(1-9%)</f>
        <v>63.7</v>
      </c>
      <c r="AT53" s="37">
        <v>4</v>
      </c>
      <c r="AU53" s="37">
        <v>3</v>
      </c>
      <c r="AV53" s="4" t="s">
        <v>214</v>
      </c>
      <c r="AW53" s="4" t="s">
        <v>60</v>
      </c>
      <c r="AX53" s="4" t="s">
        <v>199</v>
      </c>
      <c r="AZ53" s="24">
        <f>+'[1]DATOS SO2 Y CO2'!$D$91</f>
        <v>0.7</v>
      </c>
      <c r="BA53" s="24">
        <f>+'[1]DATOS SO2 Y CO2'!$E$91</f>
        <v>0.3</v>
      </c>
    </row>
    <row r="54" spans="1:53" ht="56.25">
      <c r="A54" s="1" t="s">
        <v>16</v>
      </c>
      <c r="B54" s="1" t="s">
        <v>159</v>
      </c>
      <c r="C54" s="1" t="s">
        <v>19</v>
      </c>
      <c r="D54" s="1" t="s">
        <v>9</v>
      </c>
      <c r="E54" s="18"/>
      <c r="F54" s="18" t="s">
        <v>161</v>
      </c>
      <c r="G54" s="18" t="s">
        <v>162</v>
      </c>
      <c r="H54" s="18" t="s">
        <v>163</v>
      </c>
      <c r="I54" s="18" t="s">
        <v>164</v>
      </c>
      <c r="J54" s="18" t="s">
        <v>52</v>
      </c>
      <c r="K54" s="18" t="s">
        <v>165</v>
      </c>
      <c r="L54" s="18" t="s">
        <v>54</v>
      </c>
      <c r="M54" s="18" t="s">
        <v>55</v>
      </c>
      <c r="N54" s="18" t="s">
        <v>223</v>
      </c>
      <c r="O54" s="18" t="s">
        <v>224</v>
      </c>
      <c r="P54" s="18" t="s">
        <v>225</v>
      </c>
      <c r="Q54" s="18" t="s">
        <v>58</v>
      </c>
      <c r="R54" s="19">
        <v>70</v>
      </c>
      <c r="S54" s="19">
        <v>7</v>
      </c>
      <c r="T54" s="19">
        <v>4.5</v>
      </c>
      <c r="U54" s="19"/>
      <c r="V54" s="19">
        <v>225</v>
      </c>
      <c r="W54" s="33">
        <f>2*'[1]DATOS SO2 Y CO2'!$B$30*'[1]FE COPERT 4'!W54</f>
        <v>1.35E-2</v>
      </c>
      <c r="X54" s="19">
        <f>(44.011*(V54/(12.011+1.008*1.8)))-(R54/28.011)-(S54/13.85)-((U54*AZ54)/12.011)-((AZ54*U54*BA54)/13.85)</f>
        <v>713.24789925778168</v>
      </c>
      <c r="Y54" s="19">
        <v>140</v>
      </c>
      <c r="Z54" s="19">
        <v>6</v>
      </c>
      <c r="AA54" s="19">
        <v>3</v>
      </c>
      <c r="AB54" s="21">
        <v>55</v>
      </c>
      <c r="AC54" s="21">
        <v>5.5</v>
      </c>
      <c r="AD54" s="21">
        <v>7.5</v>
      </c>
      <c r="AE54" s="21"/>
      <c r="AF54" s="21"/>
      <c r="AG54" s="21"/>
      <c r="AH54" s="21">
        <f>(44.011*(AF54/(12.011+1.008*1.8)))-(AB54/28.011)-(AC54/13.85)-((AE54*AZ54)/12.011)-((AZ54*AE54*BA54)/13.85)</f>
        <v>-2.3606262470120365</v>
      </c>
      <c r="AI54" s="21"/>
      <c r="AJ54" s="21"/>
      <c r="AK54" s="21"/>
      <c r="AL54" s="22">
        <v>55</v>
      </c>
      <c r="AM54" s="22">
        <v>3.5</v>
      </c>
      <c r="AN54" s="22">
        <v>7.5</v>
      </c>
      <c r="AO54" s="22"/>
      <c r="AP54" s="22"/>
      <c r="AQ54" s="32"/>
      <c r="AR54" s="19">
        <f>(44.011*(AP54/(12.011+1.008*1.8)))-(AL54/28.011)-(AM54/13.85)-((AO54*AZ54)/12.011)-((AZ54*AO54*BA54)/13.85)</f>
        <v>-2.2162219148820723</v>
      </c>
      <c r="AS54" s="22"/>
      <c r="AT54" s="22"/>
      <c r="AU54" s="22"/>
      <c r="AV54" s="4" t="s">
        <v>169</v>
      </c>
      <c r="AW54" s="4" t="s">
        <v>226</v>
      </c>
      <c r="AX54" s="4" t="s">
        <v>227</v>
      </c>
      <c r="AZ54" s="4">
        <v>0</v>
      </c>
      <c r="BA54" s="4">
        <v>0</v>
      </c>
    </row>
    <row r="55" spans="1:53" ht="56.25">
      <c r="A55" s="1" t="s">
        <v>16</v>
      </c>
      <c r="B55" s="1" t="s">
        <v>159</v>
      </c>
      <c r="C55" s="1" t="s">
        <v>19</v>
      </c>
      <c r="D55" s="1" t="s">
        <v>10</v>
      </c>
      <c r="E55" s="18"/>
      <c r="F55" s="18" t="s">
        <v>161</v>
      </c>
      <c r="G55" s="18" t="s">
        <v>162</v>
      </c>
      <c r="H55" s="18" t="s">
        <v>163</v>
      </c>
      <c r="I55" s="18" t="s">
        <v>164</v>
      </c>
      <c r="J55" s="18" t="s">
        <v>52</v>
      </c>
      <c r="K55" s="18" t="s">
        <v>165</v>
      </c>
      <c r="L55" s="18" t="s">
        <v>54</v>
      </c>
      <c r="M55" s="18" t="s">
        <v>55</v>
      </c>
      <c r="N55" s="18" t="s">
        <v>223</v>
      </c>
      <c r="O55" s="18" t="s">
        <v>224</v>
      </c>
      <c r="P55" s="18" t="s">
        <v>225</v>
      </c>
      <c r="Q55" s="18" t="s">
        <v>58</v>
      </c>
      <c r="R55" s="19">
        <v>70</v>
      </c>
      <c r="S55" s="19">
        <v>7</v>
      </c>
      <c r="T55" s="19">
        <v>4.5</v>
      </c>
      <c r="U55" s="19"/>
      <c r="V55" s="19">
        <v>225</v>
      </c>
      <c r="W55" s="33">
        <f>2*'[1]DATOS SO2 Y CO2'!$B$30*'[1]FE COPERT 4'!W55</f>
        <v>1.35E-2</v>
      </c>
      <c r="X55" s="19">
        <f>(44.011*(V55/(12.011+1.008*1.8)))-(R55/28.011)-(S55/13.85)-((U55*AZ55)/12.011)-((AZ55*U55*BA55)/13.85)</f>
        <v>713.24789925778168</v>
      </c>
      <c r="Y55" s="19">
        <v>140</v>
      </c>
      <c r="Z55" s="19">
        <v>6</v>
      </c>
      <c r="AA55" s="19">
        <v>3</v>
      </c>
      <c r="AB55" s="21">
        <v>55</v>
      </c>
      <c r="AC55" s="21">
        <v>5.5</v>
      </c>
      <c r="AD55" s="21">
        <v>7.5</v>
      </c>
      <c r="AE55" s="21"/>
      <c r="AF55" s="21"/>
      <c r="AG55" s="21"/>
      <c r="AH55" s="21">
        <f>(44.011*(AF55/(12.011+1.008*1.8)))-(AB55/28.011)-(AC55/13.85)-((AE55*AZ55)/12.011)-((AZ55*AE55*BA55)/13.85)</f>
        <v>-2.3606262470120365</v>
      </c>
      <c r="AI55" s="21"/>
      <c r="AJ55" s="21"/>
      <c r="AK55" s="21"/>
      <c r="AL55" s="22">
        <v>55</v>
      </c>
      <c r="AM55" s="22">
        <v>3.5</v>
      </c>
      <c r="AN55" s="22">
        <v>7.5</v>
      </c>
      <c r="AO55" s="22"/>
      <c r="AP55" s="22"/>
      <c r="AQ55" s="32"/>
      <c r="AR55" s="19">
        <f>(44.011*(AP55/(12.011+1.008*1.8)))-(AL55/28.011)-(AM55/13.85)-((AO55*AZ55)/12.011)-((AZ55*AO55*BA55)/13.85)</f>
        <v>-2.2162219148820723</v>
      </c>
      <c r="AS55" s="22"/>
      <c r="AT55" s="22"/>
      <c r="AU55" s="22"/>
      <c r="AV55" s="4" t="s">
        <v>169</v>
      </c>
      <c r="AW55" s="4" t="s">
        <v>226</v>
      </c>
      <c r="AX55" s="4" t="s">
        <v>227</v>
      </c>
      <c r="AZ55" s="4">
        <v>0</v>
      </c>
      <c r="BA55" s="4">
        <v>0</v>
      </c>
    </row>
    <row r="56" spans="1:53" ht="56.25">
      <c r="A56" s="1" t="s">
        <v>16</v>
      </c>
      <c r="B56" s="1" t="s">
        <v>159</v>
      </c>
      <c r="C56" s="1" t="s">
        <v>19</v>
      </c>
      <c r="D56" s="1" t="s">
        <v>17</v>
      </c>
      <c r="E56" s="18"/>
      <c r="F56" s="18" t="s">
        <v>161</v>
      </c>
      <c r="G56" s="18" t="s">
        <v>162</v>
      </c>
      <c r="H56" s="18" t="s">
        <v>163</v>
      </c>
      <c r="I56" s="18" t="s">
        <v>164</v>
      </c>
      <c r="J56" s="18" t="s">
        <v>52</v>
      </c>
      <c r="K56" s="18" t="s">
        <v>165</v>
      </c>
      <c r="L56" s="18" t="s">
        <v>54</v>
      </c>
      <c r="M56" s="18" t="s">
        <v>55</v>
      </c>
      <c r="N56" s="18" t="s">
        <v>223</v>
      </c>
      <c r="O56" s="18" t="s">
        <v>224</v>
      </c>
      <c r="P56" s="18" t="s">
        <v>225</v>
      </c>
      <c r="Q56" s="18" t="s">
        <v>58</v>
      </c>
      <c r="R56" s="19">
        <v>70</v>
      </c>
      <c r="S56" s="19">
        <v>7</v>
      </c>
      <c r="T56" s="19">
        <v>4.5</v>
      </c>
      <c r="U56" s="19"/>
      <c r="V56" s="19">
        <v>225</v>
      </c>
      <c r="W56" s="33">
        <f>2*'[1]DATOS SO2 Y CO2'!$B$30*'[1]FE COPERT 4'!W56</f>
        <v>1.35E-2</v>
      </c>
      <c r="X56" s="19">
        <f>(44.011*(V56/(12.011+1.008*1.8)))-(R56/28.011)-(S56/13.85)-((U56*AZ56)/12.011)-((AZ56*U56*BA56)/13.85)</f>
        <v>713.24789925778168</v>
      </c>
      <c r="Y56" s="19">
        <v>140</v>
      </c>
      <c r="Z56" s="19">
        <v>6</v>
      </c>
      <c r="AA56" s="19">
        <v>3</v>
      </c>
      <c r="AB56" s="21">
        <v>55</v>
      </c>
      <c r="AC56" s="21">
        <v>5.5</v>
      </c>
      <c r="AD56" s="21">
        <v>7.5</v>
      </c>
      <c r="AE56" s="21"/>
      <c r="AF56" s="21"/>
      <c r="AG56" s="21"/>
      <c r="AH56" s="21">
        <f>(44.011*(AF56/(12.011+1.008*1.8)))-(AB56/28.011)-(AC56/13.85)-((AE56*AZ56)/12.011)-((AZ56*AE56*BA56)/13.85)</f>
        <v>-2.3606262470120365</v>
      </c>
      <c r="AI56" s="21"/>
      <c r="AJ56" s="21"/>
      <c r="AK56" s="21"/>
      <c r="AL56" s="22">
        <v>55</v>
      </c>
      <c r="AM56" s="22">
        <v>3.5</v>
      </c>
      <c r="AN56" s="22">
        <v>7.5</v>
      </c>
      <c r="AO56" s="22"/>
      <c r="AP56" s="22"/>
      <c r="AQ56" s="32"/>
      <c r="AR56" s="19">
        <f>(44.011*(AP56/(12.011+1.008*1.8)))-(AL56/28.011)-(AM56/13.85)-((AO56*AZ56)/12.011)-((AZ56*AO56*BA56)/13.85)</f>
        <v>-2.2162219148820723</v>
      </c>
      <c r="AS56" s="22"/>
      <c r="AT56" s="22"/>
      <c r="AU56" s="22"/>
      <c r="AV56" s="4" t="s">
        <v>169</v>
      </c>
      <c r="AW56" s="4" t="s">
        <v>226</v>
      </c>
      <c r="AX56" s="4" t="s">
        <v>227</v>
      </c>
      <c r="AZ56" s="4">
        <v>0</v>
      </c>
      <c r="BA56" s="4">
        <v>0</v>
      </c>
    </row>
    <row r="57" spans="1:53" ht="56.25">
      <c r="A57" s="1" t="s">
        <v>16</v>
      </c>
      <c r="B57" s="1" t="s">
        <v>159</v>
      </c>
      <c r="C57" s="1" t="s">
        <v>20</v>
      </c>
      <c r="D57" s="1" t="s">
        <v>11</v>
      </c>
      <c r="E57" s="18" t="s">
        <v>228</v>
      </c>
      <c r="F57" s="18" t="s">
        <v>229</v>
      </c>
      <c r="G57" s="18" t="s">
        <v>230</v>
      </c>
      <c r="H57" s="18" t="s">
        <v>231</v>
      </c>
      <c r="I57" s="18" t="s">
        <v>232</v>
      </c>
      <c r="J57" s="18" t="s">
        <v>233</v>
      </c>
      <c r="K57" s="18" t="s">
        <v>234</v>
      </c>
      <c r="L57" s="18" t="s">
        <v>54</v>
      </c>
      <c r="M57" s="18" t="s">
        <v>91</v>
      </c>
      <c r="N57" s="18" t="s">
        <v>235</v>
      </c>
      <c r="O57" s="18" t="s">
        <v>236</v>
      </c>
      <c r="P57" s="18" t="s">
        <v>225</v>
      </c>
      <c r="Q57" s="18" t="s">
        <v>58</v>
      </c>
      <c r="R57" s="19">
        <f>(1/($E$227+($F$227*$R$1)))</f>
        <v>3.2613998199982124</v>
      </c>
      <c r="S57" s="19">
        <f>(($I$228+($E$228*EXP(((-1)*$F$228)*$R$1)))+($G$228*EXP(((-1)*$H$228)*$R$1)))</f>
        <v>1.0380782939942839</v>
      </c>
      <c r="T57" s="19">
        <f>(($E$229+($F$229*$R$1))+((($G$229-$F$229)*(1-EXP(((-1)*$H$229)*$R$1)))/$H$229))</f>
        <v>11.644837008193619</v>
      </c>
      <c r="U57" s="19">
        <f>(1/((($G$230*($R$1^2))+($F$230*$R$1))+$E$230))</f>
        <v>0.56556248808031995</v>
      </c>
      <c r="V57" s="19">
        <f>(($I$252+($E$252*EXP(((-1)*$F$252)*$R$1)))+($G$252*EXP(((-1)*$H$252)*$R$1)))</f>
        <v>357.64311866494592</v>
      </c>
      <c r="W57" s="33">
        <f>2*'[1]DATOS SO2 Y CO2'!$B$30*'[1]FE COPERT 4'!W57</f>
        <v>2.1458587119896757E-2</v>
      </c>
      <c r="X57" s="19">
        <f>(44.011*(V57/(12.011+1.008*2)))-(R57/28.011)-(S57/13.85)-((U57*AZ57)/12.011)-((U57*AZ57*BA57)/13.85)</f>
        <v>1121.9055039346556</v>
      </c>
      <c r="Y57" s="34">
        <v>175</v>
      </c>
      <c r="Z57" s="19">
        <v>12</v>
      </c>
      <c r="AA57" s="19">
        <v>3</v>
      </c>
      <c r="AB57" s="21">
        <f>(1/($E$227+($F$227*$AB$1)))</f>
        <v>1.2472014857606937</v>
      </c>
      <c r="AC57" s="21">
        <f>(($I$228+($E$228*EXP(((-1)*$F$228)*$AB$1)))+($G$228*EXP(((-1)*$H$228)*$AB$1)))</f>
        <v>0.42921808233952274</v>
      </c>
      <c r="AD57" s="21">
        <f>(($E$229+($F$229*$AB$1))+((($G$229-$F$229)*(1-EXP(((-1)*$H$229)*$AB$1)))/$H$229))</f>
        <v>6.8080998045758712</v>
      </c>
      <c r="AE57" s="21">
        <f>(1/((($G$230*($AB$1^2))+($F$230*$AB$1))+$E$230))</f>
        <v>0.24197895278315334</v>
      </c>
      <c r="AF57" s="21">
        <f>(($I$252+($E$252*EXP(((-1)*$F$252)*$AB$1)))+($G$252*EXP(((-1)*$H$252)*$AB$1)))</f>
        <v>200.33461767791158</v>
      </c>
      <c r="AG57" s="21">
        <f>2*'[1]DATOS SO2 Y CO2'!$B$30*'[1]FE COPERT 4'!AG57</f>
        <v>1.2020077060674695E-2</v>
      </c>
      <c r="AH57" s="21">
        <f>(44.011*(AF57/(12.011+1.008*2)))-(AB57/28.011)-(AC57/13.85)-((AE57*AZ57)/12.011)-((AE57*AZ57*BA57)/13.85)</f>
        <v>628.47509748370533</v>
      </c>
      <c r="AI57" s="21"/>
      <c r="AJ57" s="21"/>
      <c r="AK57" s="21"/>
      <c r="AL57" s="22">
        <f>(1/($E$227+($F$227*$AL$1)))</f>
        <v>0.77102587843912496</v>
      </c>
      <c r="AM57" s="22">
        <f>(($I$228+($E$228*EXP(((-1)*$F$228)*$AL$1)))+($G$228*EXP(((-1)*$H$228)*$AL$1)))</f>
        <v>0.35475137999924511</v>
      </c>
      <c r="AN57" s="22">
        <f>(($E$229+($F$229*$AL$1))+((($G$229-$F$229)*(1-EXP(((-1)*$H$229)*$AL$1)))/$H$229))</f>
        <v>5.8260429261475863</v>
      </c>
      <c r="AO57" s="22">
        <f>(1/((($G$230*($AL$1^2))+($F$230*$AL$1))+$E$230))</f>
        <v>0.16577018121319978</v>
      </c>
      <c r="AP57" s="22">
        <f>(($I$252+($E$252*EXP(((-1)*$F$252)*$AL$1)))+($G$252*EXP(((-1)*$H$252)*$AL$1)))</f>
        <v>189.7760028146437</v>
      </c>
      <c r="AQ57" s="32">
        <f>2*'[1]DATOS SO2 Y CO2'!$B$30*'[1]FE COPERT 4'!AQ57</f>
        <v>1.1386560168878623E-2</v>
      </c>
      <c r="AR57" s="19">
        <f>(44.011*(AP57/(12.011+1.008*2)))-(AL57/28.011)-(AM57/13.85)-((AO57*AZ57)/12.011)-((AO57*AZ57*BA57)/13.85)</f>
        <v>595.37440528287743</v>
      </c>
      <c r="AS57" s="22"/>
      <c r="AT57" s="22"/>
      <c r="AU57" s="22"/>
      <c r="AV57" s="4" t="s">
        <v>237</v>
      </c>
      <c r="AW57" s="4" t="s">
        <v>226</v>
      </c>
      <c r="AX57" s="4" t="s">
        <v>227</v>
      </c>
      <c r="AZ57" s="24">
        <f>+'[1]DATOS SO2 Y CO2'!$D$89</f>
        <v>0.65</v>
      </c>
      <c r="BA57" s="24">
        <f>+'[1]DATOS SO2 Y CO2'!$E$89</f>
        <v>0.4</v>
      </c>
    </row>
    <row r="58" spans="1:53" ht="56.25">
      <c r="A58" s="1" t="s">
        <v>16</v>
      </c>
      <c r="B58" s="1" t="s">
        <v>159</v>
      </c>
      <c r="C58" s="1" t="s">
        <v>20</v>
      </c>
      <c r="D58" s="1" t="s">
        <v>12</v>
      </c>
      <c r="E58" s="18" t="s">
        <v>238</v>
      </c>
      <c r="F58" s="18" t="s">
        <v>239</v>
      </c>
      <c r="G58" s="18" t="s">
        <v>232</v>
      </c>
      <c r="H58" s="18" t="s">
        <v>231</v>
      </c>
      <c r="I58" s="18" t="s">
        <v>240</v>
      </c>
      <c r="J58" s="18" t="s">
        <v>241</v>
      </c>
      <c r="K58" s="18" t="s">
        <v>242</v>
      </c>
      <c r="L58" s="18" t="s">
        <v>54</v>
      </c>
      <c r="M58" s="18" t="s">
        <v>91</v>
      </c>
      <c r="N58" s="18" t="s">
        <v>243</v>
      </c>
      <c r="O58" s="18" t="s">
        <v>236</v>
      </c>
      <c r="P58" s="18" t="s">
        <v>225</v>
      </c>
      <c r="Q58" s="18" t="s">
        <v>58</v>
      </c>
      <c r="R58" s="19">
        <f>(($E$231+($F$231*$R$1))+((($G$231-$F$231)*(1-EXP(((-1)*$H$231)*$R$1)))/$H$231))</f>
        <v>3.0461422011830255</v>
      </c>
      <c r="S58" s="19">
        <f>(($I$232+($E$232*EXP(((-1)*$F$232)*$R$1)))+($G$232*EXP(((-1)*$H$232)*$R$1)))</f>
        <v>0.68520993406718644</v>
      </c>
      <c r="T58" s="19">
        <f>($E$233+($F$233/(1+EXP((((-1)*$G$233)+($H$233*LN($R$1)))+($I$233*$R$1)))))</f>
        <v>12.390275728407406</v>
      </c>
      <c r="U58" s="19">
        <f>($G$234+($E$234*EXP($F$234*$R$1)))</f>
        <v>0.25984786512606478</v>
      </c>
      <c r="V58" s="19">
        <f>($G$253+($E$253*EXP($F$253*$R$1)))</f>
        <v>343.85115006297724</v>
      </c>
      <c r="W58" s="33">
        <f>2*'[1]DATOS SO2 Y CO2'!$B$30*'[1]FE COPERT 4'!W58</f>
        <v>2.0631069003778636E-2</v>
      </c>
      <c r="X58" s="19">
        <f>(44.011*(V58/(12.011+1.008*2)))-(R58/28.011)-(S58/13.85)-((U58*AZ58)/12.011)-((U58*AZ58*BA58)/13.85)</f>
        <v>1078.6873825553537</v>
      </c>
      <c r="Y58" s="34">
        <f>175*(1-35%)</f>
        <v>113.75</v>
      </c>
      <c r="Z58" s="19">
        <v>12</v>
      </c>
      <c r="AA58" s="19">
        <v>3</v>
      </c>
      <c r="AB58" s="21">
        <f>(($E$231+($F$231*$AB$1))+((($G$231-$F$231)*(1-EXP(((-1)*$H$231)*$AB$1)))/$H$231))</f>
        <v>1.1075872376471256</v>
      </c>
      <c r="AC58" s="21">
        <f>(($I$232+($E$232*EXP(((-1)*$F$232)*$AB$1)))+($G$232*EXP(((-1)*$H$232)*$AB$1)))</f>
        <v>0.28236928818585488</v>
      </c>
      <c r="AD58" s="21">
        <f>($E$233+($F$233/(1+EXP((((-1)*$G$233)+($H$233*LN($AB$1)))+($I$233*$AB$1)))))</f>
        <v>7.1023010533312592</v>
      </c>
      <c r="AE58" s="21">
        <f>($G$234+($E$234*EXP($F$234*$AB$1)))</f>
        <v>0.12563333732167242</v>
      </c>
      <c r="AF58" s="21">
        <f>($G$253+($E$253*EXP($F$253*$AB$1)))</f>
        <v>198.81572481510224</v>
      </c>
      <c r="AG58" s="21">
        <f>2*'[1]DATOS SO2 Y CO2'!$B$30*'[1]FE COPERT 4'!AG58</f>
        <v>1.1928943488906135E-2</v>
      </c>
      <c r="AH58" s="21">
        <f>(44.011*(AF58/(12.011+1.008*2)))-(AB58/28.011)-(AC58/13.85)-((AE58*AZ58)/12.011)-((AE58*AZ58*BA58)/13.85)</f>
        <v>623.73349916567543</v>
      </c>
      <c r="AI58" s="21"/>
      <c r="AJ58" s="21"/>
      <c r="AK58" s="21"/>
      <c r="AL58" s="22">
        <f>(($E$231+($F$231*$AL$1))+((($G$231-$F$231)*(1-EXP(((-1)*$H$231)*$AL$1)))/$H$231))</f>
        <v>0.44645388232474836</v>
      </c>
      <c r="AM58" s="22">
        <f>(($I$232+($E$232*EXP(((-1)*$F$232)*$AL$1)))+($G$232*EXP(((-1)*$H$232)*$AL$1)))</f>
        <v>0.24062400874600956</v>
      </c>
      <c r="AN58" s="22">
        <f>($E$233+($F$233/(1+EXP((((-1)*$G$233)+($H$233*LN($AL$1)))+($I$233*$AL$1)))))</f>
        <v>6.6057344354894649</v>
      </c>
      <c r="AO58" s="22">
        <f>($G$234+($E$234*EXP($F$234*$AL$1)))</f>
        <v>0.11497645314927152</v>
      </c>
      <c r="AP58" s="22">
        <f>($G$253+($E$253*EXP($F$253*$AL$1)))</f>
        <v>190.43096124986747</v>
      </c>
      <c r="AQ58" s="32">
        <f>2*'[1]DATOS SO2 Y CO2'!$B$30*'[1]FE COPERT 4'!AQ58</f>
        <v>1.1425857674992048E-2</v>
      </c>
      <c r="AR58" s="19">
        <f>(44.011*(AP58/(12.011+1.008*2)))-(AL58/28.011)-(AM58/13.85)-((AO58*AZ58)/12.011)-((AO58*AZ58*BA58)/13.85)</f>
        <v>597.45292737416344</v>
      </c>
      <c r="AS58" s="22"/>
      <c r="AT58" s="22"/>
      <c r="AU58" s="22"/>
      <c r="AV58" s="4" t="s">
        <v>237</v>
      </c>
      <c r="AW58" s="4" t="s">
        <v>226</v>
      </c>
      <c r="AX58" s="4" t="s">
        <v>227</v>
      </c>
      <c r="AZ58" s="24">
        <f>+'[1]DATOS SO2 Y CO2'!$D$90</f>
        <v>0.65</v>
      </c>
      <c r="BA58" s="24">
        <f>+'[1]DATOS SO2 Y CO2'!$E$90</f>
        <v>0.4</v>
      </c>
    </row>
    <row r="59" spans="1:53" ht="56.25">
      <c r="A59" s="1" t="s">
        <v>16</v>
      </c>
      <c r="B59" s="1" t="s">
        <v>159</v>
      </c>
      <c r="C59" s="1" t="s">
        <v>20</v>
      </c>
      <c r="D59" s="1" t="s">
        <v>13</v>
      </c>
      <c r="E59" s="18" t="s">
        <v>244</v>
      </c>
      <c r="F59" s="18" t="s">
        <v>245</v>
      </c>
      <c r="G59" s="18" t="s">
        <v>246</v>
      </c>
      <c r="H59" s="18" t="s">
        <v>247</v>
      </c>
      <c r="I59" s="18" t="s">
        <v>248</v>
      </c>
      <c r="J59" s="18" t="s">
        <v>249</v>
      </c>
      <c r="K59" s="18" t="s">
        <v>234</v>
      </c>
      <c r="L59" s="18" t="s">
        <v>54</v>
      </c>
      <c r="M59" s="18" t="s">
        <v>91</v>
      </c>
      <c r="N59" s="18" t="s">
        <v>250</v>
      </c>
      <c r="O59" s="18" t="s">
        <v>224</v>
      </c>
      <c r="P59" s="18" t="s">
        <v>225</v>
      </c>
      <c r="Q59" s="18" t="s">
        <v>58</v>
      </c>
      <c r="R59" s="19">
        <f>EXP(($E$235+($F$235/$R$1))+($G$235*LN($R$1)))</f>
        <v>3.2433577767463198</v>
      </c>
      <c r="S59" s="19">
        <f>(($I$236+($E$236*EXP(((-1)*$F$236)*$R$1)))+($G$236*EXP(((-1)*$H$236)*$R$1)))</f>
        <v>0.60496335683934044</v>
      </c>
      <c r="T59" s="19">
        <f>($E$237+($F$237/(1+EXP((((-1)*$G$237)+($H$237*LN($R$1)))+($I$237*$R$1)))))</f>
        <v>11.199435056326148</v>
      </c>
      <c r="U59" s="19">
        <f>(($I$238+($E$238*EXP(((-1)*$F$238)*$R$1)))+($G$238*EXP(((-1)*$H$238)*$R$1)))</f>
        <v>0.24325317182396369</v>
      </c>
      <c r="V59" s="19">
        <f>(($I$254+($E$254*EXP(((-1)*$F$254)*$R$1)))+($G$254*EXP(((-1)*$H$254)*$R$1)))</f>
        <v>358.83269455393224</v>
      </c>
      <c r="W59" s="33">
        <f>2*'[1]DATOS SO2 Y CO2'!$B$30*'[1]FE COPERT 4'!W59</f>
        <v>2.1529961673235936E-2</v>
      </c>
      <c r="X59" s="19">
        <f>(44.011*(V59/(12.011+1.008*2)))-(R59/28.011)-(S59/13.85)-((U59*AZ59)/12.011)-((U59*AZ59*BA59)/13.85)</f>
        <v>1125.6931819645911</v>
      </c>
      <c r="Y59" s="34">
        <f>175*(1-41%)</f>
        <v>103.25000000000001</v>
      </c>
      <c r="Z59" s="19">
        <v>6</v>
      </c>
      <c r="AA59" s="19">
        <v>3</v>
      </c>
      <c r="AB59" s="21">
        <f>EXP(($E$235+($F$235/$AB$1))+($G$235*LN($AB$1)))</f>
        <v>1.1736250592151567</v>
      </c>
      <c r="AC59" s="21">
        <f>(($I$236+($E$236*EXP(((-1)*$F$236)*$AB$1)))+($G$236*EXP(((-1)*$H$236)*$AB$1)))</f>
        <v>0.24988550301897322</v>
      </c>
      <c r="AD59" s="21">
        <f>($E$237+($F$237/(1+EXP((((-1)*$G$237)+($H$237*LN($AB$1)))+($I$237*$AB$1)))))</f>
        <v>5.3634548185684476</v>
      </c>
      <c r="AE59" s="21">
        <f>(($I$238+($E$238*EXP(((-1)*$F$238)*$AB$1)))+($G$238*EXP(((-1)*$H$238)*$AB$1)))</f>
        <v>0.11028062184464693</v>
      </c>
      <c r="AF59" s="21">
        <f>(($I$254+($E$254*EXP(((-1)*$F$254)*$AB$1)))+($G$254*EXP(((-1)*$H$254)*$AB$1)))</f>
        <v>205.44130044769716</v>
      </c>
      <c r="AG59" s="21">
        <f>2*'[1]DATOS SO2 Y CO2'!$B$30*'[1]FE COPERT 4'!AG59</f>
        <v>1.2326478026861831E-2</v>
      </c>
      <c r="AH59" s="21">
        <f>(44.011*(AF59/(12.011+1.008*2)))-(AB59/28.011)-(AC59/13.85)-((AE59*AZ59)/12.011)-((AE59*AZ59*BA59)/13.85)</f>
        <v>644.52289678549391</v>
      </c>
      <c r="AI59" s="21"/>
      <c r="AJ59" s="21"/>
      <c r="AK59" s="21"/>
      <c r="AL59" s="22">
        <f>EXP(($E$235+($F$235/$AL$1))+($G$235*LN($AL$1)))</f>
        <v>0.70695411270964925</v>
      </c>
      <c r="AM59" s="22">
        <f>(($I$236+($E$236*EXP(((-1)*$F$236)*$AL$1)))+($G$236*EXP(((-1)*$H$236)*$AL$1)))</f>
        <v>0.2089048968270884</v>
      </c>
      <c r="AN59" s="22">
        <f>($E$237+($F$237/(1+EXP((((-1)*$G$237)+($H$237*LN($AL$1)))+($I$237*$AL$1)))))</f>
        <v>4.4670699691441502</v>
      </c>
      <c r="AO59" s="22">
        <f>(($I$238+($E$238*EXP(((-1)*$F$238)*$AL$1)))+($G$238*EXP(((-1)*$H$238)*$AL$1)))</f>
        <v>9.5887181115127396E-2</v>
      </c>
      <c r="AP59" s="22">
        <f>(($I$254+($E$254*EXP(((-1)*$F$254)*$AL$1)))+($G$254*EXP(((-1)*$H$254)*$AL$1)))</f>
        <v>194.45788194930333</v>
      </c>
      <c r="AQ59" s="32">
        <f>2*'[1]DATOS SO2 Y CO2'!$B$30*'[1]FE COPERT 4'!AQ59</f>
        <v>1.16674729169582E-2</v>
      </c>
      <c r="AR59" s="19">
        <f>(44.011*(AP59/(12.011+1.008*2)))-(AL59/28.011)-(AM59/13.85)-((AO59*AZ59)/12.011)-((AO59*AZ59*BA59)/13.85)</f>
        <v>610.08208936008327</v>
      </c>
      <c r="AS59" s="22"/>
      <c r="AT59" s="22"/>
      <c r="AU59" s="22"/>
      <c r="AV59" s="4" t="s">
        <v>237</v>
      </c>
      <c r="AW59" s="4" t="s">
        <v>226</v>
      </c>
      <c r="AX59" s="4" t="s">
        <v>227</v>
      </c>
      <c r="AZ59" s="24">
        <f>+'[1]DATOS SO2 Y CO2'!$D$91</f>
        <v>0.7</v>
      </c>
      <c r="BA59" s="24">
        <f>+'[1]DATOS SO2 Y CO2'!$E$91</f>
        <v>0.3</v>
      </c>
    </row>
    <row r="60" spans="1:53" ht="56.25">
      <c r="A60" s="1" t="s">
        <v>16</v>
      </c>
      <c r="B60" s="1" t="s">
        <v>159</v>
      </c>
      <c r="C60" s="1" t="s">
        <v>21</v>
      </c>
      <c r="D60" s="1" t="s">
        <v>13</v>
      </c>
      <c r="E60" s="18"/>
      <c r="F60" s="18" t="s">
        <v>251</v>
      </c>
      <c r="G60" s="40">
        <v>1</v>
      </c>
      <c r="H60" s="40">
        <v>1.33</v>
      </c>
      <c r="I60" s="40">
        <v>10</v>
      </c>
      <c r="J60" s="40">
        <v>0.01</v>
      </c>
      <c r="K60" s="41" t="s">
        <v>252</v>
      </c>
      <c r="L60" s="18" t="s">
        <v>54</v>
      </c>
      <c r="M60" s="42" t="s">
        <v>253</v>
      </c>
      <c r="N60" s="40" t="s">
        <v>254</v>
      </c>
      <c r="O60" s="40"/>
      <c r="P60" s="40"/>
      <c r="Q60" s="18" t="s">
        <v>58</v>
      </c>
      <c r="R60" s="19">
        <v>1</v>
      </c>
      <c r="S60" s="19">
        <v>1.33</v>
      </c>
      <c r="T60" s="19">
        <v>10</v>
      </c>
      <c r="U60" s="19">
        <v>0.01</v>
      </c>
      <c r="V60" s="19">
        <v>455</v>
      </c>
      <c r="W60" s="33">
        <f>2*'[1]DATOS SO2 Y CO2'!$B$30*'[1]FE COPERT 4'!W60</f>
        <v>2.7300000000000001E-2</v>
      </c>
      <c r="X60" s="19">
        <f>(44.011*(V60/(12.011+1.008*1.8)))-(R60/28.011)-(S60/13.85)-((U60*AZ60)/12.011)-((U60*BA60)/13.85)</f>
        <v>1448.2896546882844</v>
      </c>
      <c r="Y60" s="19">
        <v>1280</v>
      </c>
      <c r="Z60" s="19"/>
      <c r="AA60" s="19"/>
      <c r="AB60" s="21">
        <v>1</v>
      </c>
      <c r="AC60" s="21">
        <v>1.33</v>
      </c>
      <c r="AD60" s="21">
        <v>10</v>
      </c>
      <c r="AE60" s="21">
        <v>0.01</v>
      </c>
      <c r="AF60" s="21">
        <v>455</v>
      </c>
      <c r="AG60" s="21">
        <f>2*'[1]DATOS SO2 Y CO2'!$B$30*'[1]FE COPERT 4'!AG60</f>
        <v>2.7300000000000001E-2</v>
      </c>
      <c r="AH60" s="21">
        <f>(44.011*(AF60/(12.011+1.008*1.8)))-(AB60/28.011)-(AC60/13.85)-((AE60*AZ60)/12.011)-((AE60*BA60)/13.85)</f>
        <v>1448.2896546882844</v>
      </c>
      <c r="AI60" s="21"/>
      <c r="AJ60" s="21"/>
      <c r="AK60" s="21"/>
      <c r="AL60" s="22">
        <v>1</v>
      </c>
      <c r="AM60" s="22">
        <v>1.33</v>
      </c>
      <c r="AN60" s="22">
        <v>10</v>
      </c>
      <c r="AO60" s="22">
        <v>0.01</v>
      </c>
      <c r="AP60" s="22">
        <v>455</v>
      </c>
      <c r="AQ60" s="32">
        <f>2*'[1]DATOS SO2 Y CO2'!$B$30*'[1]FE COPERT 4'!AQ60</f>
        <v>2.7300000000000001E-2</v>
      </c>
      <c r="AR60" s="19">
        <f>(44.011*(AP60/(12.011+1.008*1.8)))-(AL60/28.011)-(AM60/13.85)-((AO60*AZ60)/12.011)-((AO60*BA60)/13.85)</f>
        <v>1448.2896546882844</v>
      </c>
      <c r="AS60" s="22"/>
      <c r="AT60" s="22"/>
      <c r="AU60" s="22"/>
      <c r="AV60" s="4" t="s">
        <v>255</v>
      </c>
      <c r="AW60" s="4" t="s">
        <v>226</v>
      </c>
      <c r="AX60" s="4" t="s">
        <v>256</v>
      </c>
      <c r="AZ60" s="4">
        <v>0</v>
      </c>
      <c r="BA60" s="4">
        <v>0</v>
      </c>
    </row>
    <row r="61" spans="1:53">
      <c r="A61" s="1" t="s">
        <v>16</v>
      </c>
      <c r="B61" s="1" t="s">
        <v>159</v>
      </c>
      <c r="C61" s="1" t="s">
        <v>22</v>
      </c>
      <c r="D61" s="1" t="s">
        <v>13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 t="s">
        <v>58</v>
      </c>
      <c r="R61" s="19"/>
      <c r="S61" s="19"/>
      <c r="T61" s="19"/>
      <c r="U61" s="19"/>
      <c r="V61" s="19"/>
      <c r="W61" s="33"/>
      <c r="X61" s="19"/>
      <c r="Y61" s="19"/>
      <c r="Z61" s="19"/>
      <c r="AA61" s="19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2"/>
      <c r="AM61" s="22"/>
      <c r="AN61" s="22"/>
      <c r="AO61" s="22"/>
      <c r="AP61" s="22"/>
      <c r="AQ61" s="32"/>
      <c r="AR61" s="19"/>
      <c r="AS61" s="22"/>
      <c r="AT61" s="22"/>
      <c r="AU61" s="22"/>
      <c r="AV61" s="4" t="s">
        <v>193</v>
      </c>
      <c r="AZ61" s="4">
        <v>0</v>
      </c>
      <c r="BA61" s="4">
        <v>0</v>
      </c>
    </row>
    <row r="67" spans="1:49">
      <c r="C67" s="4" t="s">
        <v>257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5"/>
      <c r="AW67" s="45"/>
    </row>
    <row r="68" spans="1:49">
      <c r="A68" s="46" t="s">
        <v>258</v>
      </c>
      <c r="B68" s="46" t="s">
        <v>24</v>
      </c>
      <c r="C68" s="46" t="s">
        <v>259</v>
      </c>
      <c r="D68" s="47" t="s">
        <v>260</v>
      </c>
      <c r="E68" s="48"/>
      <c r="F68" s="48"/>
      <c r="G68" s="48"/>
      <c r="H68" s="49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5"/>
      <c r="AW68" s="45"/>
    </row>
    <row r="69" spans="1:49">
      <c r="A69" s="50"/>
      <c r="B69" s="50"/>
      <c r="C69" s="50"/>
      <c r="D69" s="51" t="s">
        <v>261</v>
      </c>
      <c r="E69" s="51" t="s">
        <v>262</v>
      </c>
      <c r="F69" s="51" t="s">
        <v>263</v>
      </c>
      <c r="G69" s="51" t="s">
        <v>264</v>
      </c>
      <c r="H69" s="51" t="s">
        <v>265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5"/>
    </row>
    <row r="70" spans="1:49" s="23" customFormat="1" ht="12.75">
      <c r="A70" s="52" t="s">
        <v>266</v>
      </c>
      <c r="B70" s="53" t="s">
        <v>267</v>
      </c>
      <c r="C70" s="54" t="s">
        <v>25</v>
      </c>
      <c r="D70" s="55">
        <v>1.3310072669999999</v>
      </c>
      <c r="E70" s="55">
        <v>21.844974310000001</v>
      </c>
      <c r="F70" s="55">
        <v>-0.504971269</v>
      </c>
      <c r="G70" s="55">
        <v>0.31282169599999998</v>
      </c>
      <c r="H70" s="55">
        <v>4.7556882000000002E-2</v>
      </c>
      <c r="I70" s="56">
        <v>240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5"/>
      <c r="AW70" s="45"/>
    </row>
    <row r="71" spans="1:49" s="23" customFormat="1" ht="12.75">
      <c r="A71" s="57"/>
      <c r="B71" s="58"/>
      <c r="C71" s="54" t="s">
        <v>26</v>
      </c>
      <c r="D71" s="55">
        <v>0.11191229</v>
      </c>
      <c r="E71" s="55">
        <v>1.5857327000000001E-2</v>
      </c>
      <c r="F71" s="59">
        <v>2.5584499999999999E-5</v>
      </c>
      <c r="G71" s="55" t="s">
        <v>268</v>
      </c>
      <c r="H71" s="55" t="s">
        <v>268</v>
      </c>
      <c r="I71" s="56">
        <f>+I70+1</f>
        <v>241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5"/>
      <c r="AW71" s="45"/>
    </row>
    <row r="72" spans="1:49" s="23" customFormat="1" ht="12.75">
      <c r="A72" s="57"/>
      <c r="B72" s="58"/>
      <c r="C72" s="54" t="s">
        <v>28</v>
      </c>
      <c r="D72" s="55">
        <v>9.4686327719999994</v>
      </c>
      <c r="E72" s="55">
        <v>4.4296467999999999E-2</v>
      </c>
      <c r="F72" s="55">
        <v>-0.327015573</v>
      </c>
      <c r="G72" s="55">
        <v>4.4431139000000001E-2</v>
      </c>
      <c r="H72" s="55" t="s">
        <v>268</v>
      </c>
      <c r="I72" s="56">
        <f>+I71+1</f>
        <v>242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5"/>
      <c r="AW72" s="45"/>
    </row>
    <row r="73" spans="1:49" s="23" customFormat="1" ht="12.75">
      <c r="A73" s="57"/>
      <c r="B73" s="60"/>
      <c r="C73" s="54" t="s">
        <v>36</v>
      </c>
      <c r="D73" s="55">
        <v>0.98444883000000005</v>
      </c>
      <c r="E73" s="55">
        <v>5.7388565000000002E-2</v>
      </c>
      <c r="F73" s="55">
        <v>1.357528458</v>
      </c>
      <c r="G73" s="55">
        <v>0.26749736499999999</v>
      </c>
      <c r="H73" s="55">
        <v>0.24667957900000001</v>
      </c>
      <c r="I73" s="56">
        <f t="shared" ref="I73:I85" si="3">+I72+1</f>
        <v>243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5"/>
      <c r="AW73" s="45"/>
    </row>
    <row r="74" spans="1:49" s="23" customFormat="1" ht="12.75">
      <c r="A74" s="57"/>
      <c r="B74" s="53" t="s">
        <v>269</v>
      </c>
      <c r="C74" s="54" t="s">
        <v>25</v>
      </c>
      <c r="D74" s="55">
        <v>2.7626082269999999</v>
      </c>
      <c r="E74" s="55">
        <v>4.2188979999999996E-3</v>
      </c>
      <c r="F74" s="55">
        <v>-0.13881174099999999</v>
      </c>
      <c r="G74" s="55">
        <v>5.5438901999999998E-2</v>
      </c>
      <c r="H74" s="55" t="s">
        <v>268</v>
      </c>
      <c r="I74" s="56">
        <f t="shared" si="3"/>
        <v>244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5"/>
      <c r="AW74" s="45"/>
    </row>
    <row r="75" spans="1:49" s="23" customFormat="1" ht="12.75">
      <c r="A75" s="57"/>
      <c r="B75" s="58"/>
      <c r="C75" s="54" t="s">
        <v>26</v>
      </c>
      <c r="D75" s="55">
        <v>0.65568182900000005</v>
      </c>
      <c r="E75" s="55">
        <v>4.1408470000000003E-2</v>
      </c>
      <c r="F75" s="55">
        <v>0.57990362799999995</v>
      </c>
      <c r="G75" s="55">
        <v>0.179881863</v>
      </c>
      <c r="H75" s="55">
        <v>0.13036386799999999</v>
      </c>
      <c r="I75" s="56">
        <f t="shared" si="3"/>
        <v>245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5"/>
      <c r="AW75" s="45"/>
    </row>
    <row r="76" spans="1:49" s="23" customFormat="1" ht="12.75">
      <c r="A76" s="57"/>
      <c r="B76" s="58"/>
      <c r="C76" s="54" t="s">
        <v>28</v>
      </c>
      <c r="D76" s="55">
        <v>8.131803541</v>
      </c>
      <c r="E76" s="55">
        <v>2.4220075000000001E-2</v>
      </c>
      <c r="F76" s="55">
        <v>-0.40715521199999999</v>
      </c>
      <c r="G76" s="55">
        <v>6.5873609E-2</v>
      </c>
      <c r="H76" s="55" t="s">
        <v>268</v>
      </c>
      <c r="I76" s="56">
        <f t="shared" si="3"/>
        <v>246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5"/>
      <c r="AW76" s="45"/>
    </row>
    <row r="77" spans="1:49" s="23" customFormat="1" ht="12.75">
      <c r="A77" s="57"/>
      <c r="B77" s="60"/>
      <c r="C77" s="54" t="s">
        <v>36</v>
      </c>
      <c r="D77" s="55">
        <v>9.6416726999999994E-2</v>
      </c>
      <c r="E77" s="55">
        <v>3.437798543</v>
      </c>
      <c r="F77" s="55">
        <v>-1.419390951</v>
      </c>
      <c r="G77" s="55">
        <v>0.24971148200000001</v>
      </c>
      <c r="H77" s="55">
        <v>5.4873078999999998E-2</v>
      </c>
      <c r="I77" s="56">
        <f t="shared" si="3"/>
        <v>247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S77" s="44"/>
      <c r="AT77" s="44"/>
      <c r="AU77" s="44"/>
      <c r="AV77" s="45"/>
      <c r="AW77" s="45"/>
    </row>
    <row r="78" spans="1:49" s="23" customFormat="1" ht="12.75">
      <c r="A78" s="57"/>
      <c r="B78" s="53" t="s">
        <v>270</v>
      </c>
      <c r="C78" s="54" t="s">
        <v>25</v>
      </c>
      <c r="D78" s="55">
        <v>0.25113839900000001</v>
      </c>
      <c r="E78" s="55">
        <v>5.6093806000000003E-2</v>
      </c>
      <c r="F78" s="55">
        <v>-4.01996E-4</v>
      </c>
      <c r="G78" s="55" t="s">
        <v>268</v>
      </c>
      <c r="H78" s="55" t="s">
        <v>268</v>
      </c>
      <c r="I78" s="56">
        <f t="shared" si="3"/>
        <v>248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5"/>
      <c r="AW78" s="45"/>
    </row>
    <row r="79" spans="1:49" s="23" customFormat="1" ht="12.75">
      <c r="A79" s="57"/>
      <c r="B79" s="58"/>
      <c r="C79" s="54" t="s">
        <v>26</v>
      </c>
      <c r="D79" s="55">
        <v>0.40810880300000002</v>
      </c>
      <c r="E79" s="55">
        <v>3.9071896000000002E-2</v>
      </c>
      <c r="F79" s="55">
        <v>0.415617456</v>
      </c>
      <c r="G79" s="55">
        <v>0.17017739500000001</v>
      </c>
      <c r="H79" s="55">
        <v>7.8487704000000005E-2</v>
      </c>
      <c r="I79" s="56">
        <f t="shared" si="3"/>
        <v>249</v>
      </c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5"/>
      <c r="AW79" s="45"/>
    </row>
    <row r="80" spans="1:49" s="23" customFormat="1" ht="12.75">
      <c r="A80" s="57"/>
      <c r="B80" s="58"/>
      <c r="C80" s="54" t="s">
        <v>28</v>
      </c>
      <c r="D80" s="55">
        <v>8.9529168430000006</v>
      </c>
      <c r="E80" s="55">
        <v>1.9499319000000001E-2</v>
      </c>
      <c r="F80" s="55">
        <v>-0.46074235299999999</v>
      </c>
      <c r="G80" s="55">
        <v>6.8871083E-2</v>
      </c>
      <c r="H80" s="55" t="s">
        <v>268</v>
      </c>
      <c r="I80" s="56">
        <f t="shared" si="3"/>
        <v>250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5"/>
      <c r="AW80" s="45"/>
    </row>
    <row r="81" spans="1:49" s="23" customFormat="1" ht="12.75">
      <c r="A81" s="57"/>
      <c r="B81" s="60"/>
      <c r="C81" s="54" t="s">
        <v>36</v>
      </c>
      <c r="D81" s="55">
        <v>5.3520302959999997</v>
      </c>
      <c r="E81" s="55">
        <v>0.430120738</v>
      </c>
      <c r="F81" s="55">
        <v>-3.5462269999999999E-3</v>
      </c>
      <c r="G81" s="55" t="s">
        <v>268</v>
      </c>
      <c r="H81" s="55" t="s">
        <v>268</v>
      </c>
      <c r="I81" s="56">
        <f t="shared" si="3"/>
        <v>251</v>
      </c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5"/>
      <c r="AW81" s="45"/>
    </row>
    <row r="82" spans="1:49" s="23" customFormat="1" ht="12.75">
      <c r="A82" s="57"/>
      <c r="B82" s="53" t="s">
        <v>271</v>
      </c>
      <c r="C82" s="54" t="s">
        <v>25</v>
      </c>
      <c r="D82" s="55">
        <v>1.848048637</v>
      </c>
      <c r="E82" s="55">
        <v>5.0961953999999997E-2</v>
      </c>
      <c r="F82" s="55">
        <v>1.9368579299999999</v>
      </c>
      <c r="G82" s="55">
        <v>0.26973839199999999</v>
      </c>
      <c r="H82" s="55">
        <v>0.38417568600000002</v>
      </c>
      <c r="I82" s="56">
        <f t="shared" si="3"/>
        <v>252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5"/>
      <c r="AW82" s="45"/>
    </row>
    <row r="83" spans="1:49" s="23" customFormat="1" ht="12.75">
      <c r="A83" s="57"/>
      <c r="B83" s="58"/>
      <c r="C83" s="54" t="s">
        <v>26</v>
      </c>
      <c r="D83" s="55">
        <v>1.6179697909999999</v>
      </c>
      <c r="E83" s="55">
        <v>-3.9560243939999999</v>
      </c>
      <c r="F83" s="55">
        <v>-0.92862641499999998</v>
      </c>
      <c r="G83" s="55" t="s">
        <v>268</v>
      </c>
      <c r="H83" s="55" t="s">
        <v>268</v>
      </c>
      <c r="I83" s="56">
        <f t="shared" si="3"/>
        <v>253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5"/>
      <c r="AW83" s="45"/>
    </row>
    <row r="84" spans="1:49" s="23" customFormat="1" ht="12.75">
      <c r="A84" s="57"/>
      <c r="B84" s="58"/>
      <c r="C84" s="54" t="s">
        <v>28</v>
      </c>
      <c r="D84" s="55">
        <v>7.3703919999999999E-3</v>
      </c>
      <c r="E84" s="55">
        <v>1.2157245210000001</v>
      </c>
      <c r="F84" s="55">
        <v>31.192561359999999</v>
      </c>
      <c r="G84" s="55">
        <v>-0.77023570299999999</v>
      </c>
      <c r="H84" s="55" t="s">
        <v>268</v>
      </c>
      <c r="I84" s="56">
        <f t="shared" si="3"/>
        <v>254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5"/>
      <c r="AW84" s="45"/>
    </row>
    <row r="85" spans="1:49" s="23" customFormat="1" ht="12.75">
      <c r="A85" s="61"/>
      <c r="B85" s="60"/>
      <c r="C85" s="54" t="s">
        <v>36</v>
      </c>
      <c r="D85" s="55">
        <v>0.139633163</v>
      </c>
      <c r="E85" s="55">
        <v>4.3683050000000001E-2</v>
      </c>
      <c r="F85" s="55">
        <v>4.2585757000000002E-2</v>
      </c>
      <c r="G85" s="55">
        <v>0.13884336</v>
      </c>
      <c r="H85" s="55">
        <v>3.6788055E-2</v>
      </c>
      <c r="I85" s="56">
        <f t="shared" si="3"/>
        <v>255</v>
      </c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5"/>
      <c r="AW85" s="45"/>
    </row>
    <row r="86" spans="1:49" s="23" customFormat="1" ht="12.75"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5"/>
      <c r="AW86" s="45"/>
    </row>
    <row r="87" spans="1:49" s="23" customFormat="1" ht="12.75"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5"/>
      <c r="AW87" s="45"/>
    </row>
    <row r="88" spans="1:49" s="23" customFormat="1" ht="12.75">
      <c r="C88" s="23" t="s">
        <v>272</v>
      </c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5"/>
      <c r="AW88" s="45"/>
    </row>
    <row r="89" spans="1:49" s="23" customFormat="1" ht="12.75">
      <c r="A89" s="52" t="s">
        <v>258</v>
      </c>
      <c r="B89" s="52" t="s">
        <v>24</v>
      </c>
      <c r="C89" s="52" t="s">
        <v>259</v>
      </c>
      <c r="D89" s="62" t="s">
        <v>260</v>
      </c>
      <c r="E89" s="63"/>
      <c r="F89" s="63"/>
      <c r="G89" s="63"/>
      <c r="H89" s="6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5"/>
      <c r="AW89" s="45"/>
    </row>
    <row r="90" spans="1:49" s="23" customFormat="1" ht="12.75">
      <c r="A90" s="61"/>
      <c r="B90" s="61"/>
      <c r="C90" s="61"/>
      <c r="D90" s="65" t="s">
        <v>261</v>
      </c>
      <c r="E90" s="65" t="s">
        <v>262</v>
      </c>
      <c r="F90" s="65" t="s">
        <v>263</v>
      </c>
      <c r="G90" s="65" t="s">
        <v>264</v>
      </c>
      <c r="H90" s="65" t="s">
        <v>265</v>
      </c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5"/>
      <c r="AW90" s="45"/>
    </row>
    <row r="91" spans="1:49" s="23" customFormat="1" ht="12.75">
      <c r="A91" s="52" t="s">
        <v>273</v>
      </c>
      <c r="B91" s="53" t="s">
        <v>267</v>
      </c>
      <c r="C91" s="54" t="s">
        <v>25</v>
      </c>
      <c r="D91" s="55">
        <v>7.5370752579999998</v>
      </c>
      <c r="E91" s="55">
        <v>5.6913341999999999E-2</v>
      </c>
      <c r="F91" s="55">
        <v>11.812214969999999</v>
      </c>
      <c r="G91" s="55">
        <v>0.22768250400000001</v>
      </c>
      <c r="H91" s="55">
        <v>1.6407970489999999</v>
      </c>
      <c r="I91" s="56">
        <v>261</v>
      </c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5"/>
      <c r="AW91" s="45"/>
    </row>
    <row r="92" spans="1:49" s="23" customFormat="1" ht="12.75">
      <c r="A92" s="57"/>
      <c r="B92" s="58"/>
      <c r="C92" s="54" t="s">
        <v>26</v>
      </c>
      <c r="D92" s="55">
        <v>0.24376078800000001</v>
      </c>
      <c r="E92" s="55">
        <v>7.1082625960000003</v>
      </c>
      <c r="F92" s="55">
        <v>3.5123682939999998</v>
      </c>
      <c r="G92" s="55">
        <v>1.609276014</v>
      </c>
      <c r="H92" s="55">
        <v>-6.700569E-3</v>
      </c>
      <c r="I92" s="56">
        <f t="shared" ref="I92:I106" si="4">+I91+1</f>
        <v>262</v>
      </c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5"/>
      <c r="AW92" s="45"/>
    </row>
    <row r="93" spans="1:49" s="23" customFormat="1" ht="12.75">
      <c r="A93" s="57"/>
      <c r="B93" s="58"/>
      <c r="C93" s="54" t="s">
        <v>28</v>
      </c>
      <c r="D93" s="55">
        <v>23.963521029999999</v>
      </c>
      <c r="E93" s="55">
        <v>2.4770117000000001E-2</v>
      </c>
      <c r="F93" s="55">
        <v>-1.010405864</v>
      </c>
      <c r="G93" s="55">
        <v>5.8606680000000001E-2</v>
      </c>
      <c r="H93" s="55" t="s">
        <v>268</v>
      </c>
      <c r="I93" s="56">
        <f t="shared" si="4"/>
        <v>263</v>
      </c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5"/>
      <c r="AW93" s="45"/>
    </row>
    <row r="94" spans="1:49" s="23" customFormat="1" ht="12.75">
      <c r="A94" s="57"/>
      <c r="B94" s="60"/>
      <c r="C94" s="54" t="s">
        <v>36</v>
      </c>
      <c r="D94" s="55">
        <v>1.1288319579999999</v>
      </c>
      <c r="E94" s="55">
        <v>5.5287587999999999E-2</v>
      </c>
      <c r="F94" s="55">
        <v>2.072721177</v>
      </c>
      <c r="G94" s="55">
        <v>0.23150736</v>
      </c>
      <c r="H94" s="55">
        <v>0.25746418300000001</v>
      </c>
      <c r="I94" s="56">
        <f t="shared" si="4"/>
        <v>264</v>
      </c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5"/>
      <c r="AW94" s="45"/>
    </row>
    <row r="95" spans="1:49" s="23" customFormat="1" ht="12.75">
      <c r="A95" s="57"/>
      <c r="B95" s="53" t="s">
        <v>269</v>
      </c>
      <c r="C95" s="54" t="s">
        <v>25</v>
      </c>
      <c r="D95" s="55">
        <v>3.6119315969999999</v>
      </c>
      <c r="E95" s="55">
        <v>5.6898682999999999E-2</v>
      </c>
      <c r="F95" s="55">
        <v>5.4637765939999996</v>
      </c>
      <c r="G95" s="55">
        <v>0.27378148099999999</v>
      </c>
      <c r="H95" s="55">
        <v>0.79031745399999997</v>
      </c>
      <c r="I95" s="56">
        <f t="shared" si="4"/>
        <v>265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5"/>
      <c r="AW95" s="45"/>
    </row>
    <row r="96" spans="1:49" s="23" customFormat="1" ht="12.75">
      <c r="A96" s="57"/>
      <c r="B96" s="58"/>
      <c r="C96" s="54" t="s">
        <v>26</v>
      </c>
      <c r="D96" s="55">
        <v>0.17806401299999999</v>
      </c>
      <c r="E96" s="55">
        <v>2.2378214989999998</v>
      </c>
      <c r="F96" s="55">
        <v>3.8916072800000001</v>
      </c>
      <c r="G96" s="55">
        <v>1.6498335799999999</v>
      </c>
      <c r="H96" s="55">
        <v>-2.558935E-3</v>
      </c>
      <c r="I96" s="56">
        <f t="shared" si="4"/>
        <v>266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5"/>
      <c r="AW96" s="45"/>
    </row>
    <row r="97" spans="1:49" s="23" customFormat="1" ht="12.75">
      <c r="A97" s="57"/>
      <c r="B97" s="58"/>
      <c r="C97" s="54" t="s">
        <v>28</v>
      </c>
      <c r="D97" s="55">
        <v>16.149804979999999</v>
      </c>
      <c r="E97" s="55">
        <v>5.9177680000000003E-3</v>
      </c>
      <c r="F97" s="55">
        <v>-0.825360977</v>
      </c>
      <c r="G97" s="55">
        <v>7.1153100999999996E-2</v>
      </c>
      <c r="H97" s="55" t="s">
        <v>268</v>
      </c>
      <c r="I97" s="56">
        <f t="shared" si="4"/>
        <v>267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5"/>
      <c r="AW97" s="45"/>
    </row>
    <row r="98" spans="1:49" s="23" customFormat="1" ht="12.75">
      <c r="A98" s="57"/>
      <c r="B98" s="60"/>
      <c r="C98" s="54" t="s">
        <v>36</v>
      </c>
      <c r="D98" s="55">
        <v>0.75055726599999995</v>
      </c>
      <c r="E98" s="55">
        <v>5.9557596999999997E-2</v>
      </c>
      <c r="F98" s="55">
        <v>0.78475053800000005</v>
      </c>
      <c r="G98" s="55">
        <v>0.19012266899999999</v>
      </c>
      <c r="H98" s="55">
        <v>0.156206861</v>
      </c>
      <c r="I98" s="56">
        <f t="shared" si="4"/>
        <v>268</v>
      </c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5"/>
      <c r="AW98" s="45"/>
    </row>
    <row r="99" spans="1:49" s="23" customFormat="1" ht="12.75">
      <c r="A99" s="57"/>
      <c r="B99" s="53" t="s">
        <v>270</v>
      </c>
      <c r="C99" s="54" t="s">
        <v>25</v>
      </c>
      <c r="D99" s="55">
        <v>0.13352509900000001</v>
      </c>
      <c r="E99" s="55">
        <v>3.0107337000000001E-2</v>
      </c>
      <c r="F99" s="55">
        <v>-1.99058E-4</v>
      </c>
      <c r="G99" s="55" t="s">
        <v>268</v>
      </c>
      <c r="H99" s="55" t="s">
        <v>268</v>
      </c>
      <c r="I99" s="56">
        <f t="shared" si="4"/>
        <v>269</v>
      </c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5"/>
      <c r="AW99" s="45"/>
    </row>
    <row r="100" spans="1:49" s="23" customFormat="1" ht="12.75">
      <c r="A100" s="57"/>
      <c r="B100" s="58"/>
      <c r="C100" s="54" t="s">
        <v>26</v>
      </c>
      <c r="D100" s="55">
        <v>0.124965177</v>
      </c>
      <c r="E100" s="55">
        <v>1.6234061790000001</v>
      </c>
      <c r="F100" s="55">
        <v>3.173558849</v>
      </c>
      <c r="G100" s="55">
        <v>1.416265763</v>
      </c>
      <c r="H100" s="55">
        <v>6.7605620000000003E-3</v>
      </c>
      <c r="I100" s="56">
        <f t="shared" si="4"/>
        <v>270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5"/>
      <c r="AW100" s="45"/>
    </row>
    <row r="101" spans="1:49" s="23" customFormat="1" ht="12.75">
      <c r="A101" s="57"/>
      <c r="B101" s="58"/>
      <c r="C101" s="54" t="s">
        <v>28</v>
      </c>
      <c r="D101" s="55">
        <v>12.016276319999999</v>
      </c>
      <c r="E101" s="55">
        <v>7.1868828999999995E-2</v>
      </c>
      <c r="F101" s="55">
        <v>1472.9743000000001</v>
      </c>
      <c r="G101" s="55">
        <v>1.22281171</v>
      </c>
      <c r="H101" s="55">
        <v>5.0380522990000003</v>
      </c>
      <c r="I101" s="56">
        <f t="shared" si="4"/>
        <v>271</v>
      </c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5"/>
      <c r="AW101" s="45"/>
    </row>
    <row r="102" spans="1:49" s="23" customFormat="1" ht="12.75">
      <c r="A102" s="57"/>
      <c r="B102" s="60"/>
      <c r="C102" s="54" t="s">
        <v>36</v>
      </c>
      <c r="D102" s="55">
        <v>0.295842247</v>
      </c>
      <c r="E102" s="55">
        <v>2.2134699999999999E-3</v>
      </c>
      <c r="F102" s="55">
        <v>-9.8722940000000002E-3</v>
      </c>
      <c r="G102" s="55">
        <v>2.9307066999999999E-2</v>
      </c>
      <c r="H102" s="55" t="s">
        <v>268</v>
      </c>
      <c r="I102" s="56">
        <f t="shared" si="4"/>
        <v>272</v>
      </c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5"/>
      <c r="AW102" s="45"/>
    </row>
    <row r="103" spans="1:49" s="23" customFormat="1" ht="12.75">
      <c r="A103" s="57"/>
      <c r="B103" s="53" t="s">
        <v>271</v>
      </c>
      <c r="C103" s="54" t="s">
        <v>25</v>
      </c>
      <c r="D103" s="55">
        <v>3.6645785310000001</v>
      </c>
      <c r="E103" s="55">
        <v>5.6368339000000003E-2</v>
      </c>
      <c r="F103" s="55">
        <v>5.2302882909999999</v>
      </c>
      <c r="G103" s="55">
        <v>0.22940672500000001</v>
      </c>
      <c r="H103" s="55">
        <v>0.73168739400000005</v>
      </c>
      <c r="I103" s="56">
        <f t="shared" si="4"/>
        <v>273</v>
      </c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5"/>
      <c r="AW103" s="45"/>
    </row>
    <row r="104" spans="1:49" s="23" customFormat="1" ht="12.75">
      <c r="A104" s="57"/>
      <c r="B104" s="58"/>
      <c r="C104" s="54" t="s">
        <v>26</v>
      </c>
      <c r="D104" s="55">
        <v>8.3736033000000001E-2</v>
      </c>
      <c r="E104" s="55">
        <v>1.321044345</v>
      </c>
      <c r="F104" s="55">
        <v>4.5313518000000004</v>
      </c>
      <c r="G104" s="55">
        <v>1.893487259</v>
      </c>
      <c r="H104" s="55">
        <v>-1.0385315000000001E-2</v>
      </c>
      <c r="I104" s="56">
        <f t="shared" si="4"/>
        <v>274</v>
      </c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5"/>
      <c r="AW104" s="45"/>
    </row>
    <row r="105" spans="1:49" s="23" customFormat="1" ht="12.75">
      <c r="A105" s="57"/>
      <c r="B105" s="58"/>
      <c r="C105" s="54" t="s">
        <v>28</v>
      </c>
      <c r="D105" s="55">
        <v>8.8399186729999997</v>
      </c>
      <c r="E105" s="55">
        <v>5.8209544000000002E-2</v>
      </c>
      <c r="F105" s="55">
        <v>32.811909329999999</v>
      </c>
      <c r="G105" s="55">
        <v>0.324655578</v>
      </c>
      <c r="H105" s="55">
        <v>3.7596127319999999</v>
      </c>
      <c r="I105" s="56">
        <f t="shared" si="4"/>
        <v>275</v>
      </c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5"/>
      <c r="AW105" s="45"/>
    </row>
    <row r="106" spans="1:49" s="23" customFormat="1" ht="12.75">
      <c r="A106" s="61"/>
      <c r="B106" s="60"/>
      <c r="C106" s="54" t="s">
        <v>36</v>
      </c>
      <c r="D106" s="55">
        <v>7.5300030000000004E-3</v>
      </c>
      <c r="E106" s="55">
        <v>0.48177821500000001</v>
      </c>
      <c r="F106" s="55">
        <v>4.5774146460000003</v>
      </c>
      <c r="G106" s="55">
        <v>1.880644864</v>
      </c>
      <c r="H106" s="55">
        <v>-2.2416578999999999E-2</v>
      </c>
      <c r="I106" s="56">
        <f t="shared" si="4"/>
        <v>276</v>
      </c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5"/>
      <c r="AW106" s="45"/>
    </row>
    <row r="107" spans="1:49" s="23" customFormat="1" ht="12.75"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5"/>
      <c r="AW107" s="45"/>
    </row>
    <row r="108" spans="1:49" s="23" customFormat="1" ht="12.75"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5"/>
      <c r="AW108" s="45"/>
    </row>
    <row r="109" spans="1:49" s="23" customFormat="1" ht="12.75"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5"/>
      <c r="AW109" s="45"/>
    </row>
    <row r="110" spans="1:49" s="23" customFormat="1" ht="12.75">
      <c r="C110" s="23" t="s">
        <v>274</v>
      </c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5"/>
      <c r="AW110" s="45"/>
    </row>
    <row r="111" spans="1:49" s="23" customFormat="1" ht="12.75">
      <c r="A111" s="52" t="s">
        <v>258</v>
      </c>
      <c r="B111" s="52" t="s">
        <v>24</v>
      </c>
      <c r="C111" s="52" t="s">
        <v>259</v>
      </c>
      <c r="D111" s="62" t="s">
        <v>260</v>
      </c>
      <c r="E111" s="63"/>
      <c r="F111" s="63"/>
      <c r="G111" s="63"/>
      <c r="H111" s="6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5"/>
      <c r="AW111" s="45"/>
    </row>
    <row r="112" spans="1:49" s="23" customFormat="1" ht="12.75">
      <c r="A112" s="61"/>
      <c r="B112" s="61"/>
      <c r="C112" s="61"/>
      <c r="D112" s="65" t="s">
        <v>261</v>
      </c>
      <c r="E112" s="65" t="s">
        <v>262</v>
      </c>
      <c r="F112" s="65" t="s">
        <v>263</v>
      </c>
      <c r="G112" s="65" t="s">
        <v>264</v>
      </c>
      <c r="H112" s="65" t="s">
        <v>265</v>
      </c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5"/>
      <c r="AW112" s="45"/>
    </row>
    <row r="113" spans="1:49" s="23" customFormat="1" ht="12.75">
      <c r="A113" s="52" t="s">
        <v>275</v>
      </c>
      <c r="B113" s="53" t="s">
        <v>267</v>
      </c>
      <c r="C113" s="54" t="s">
        <v>25</v>
      </c>
      <c r="D113" s="55">
        <v>8.1341188340000006</v>
      </c>
      <c r="E113" s="55">
        <v>5.4211080000000002E-2</v>
      </c>
      <c r="F113" s="55">
        <v>15.864354349999999</v>
      </c>
      <c r="G113" s="55">
        <v>0.27532050600000002</v>
      </c>
      <c r="H113" s="55">
        <v>1.6431017480000001</v>
      </c>
      <c r="I113" s="56">
        <v>283</v>
      </c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5"/>
      <c r="AW113" s="45"/>
    </row>
    <row r="114" spans="1:49" s="23" customFormat="1" ht="12.75">
      <c r="A114" s="57"/>
      <c r="B114" s="58"/>
      <c r="C114" s="54" t="s">
        <v>26</v>
      </c>
      <c r="D114" s="55">
        <v>1.531679942</v>
      </c>
      <c r="E114" s="55">
        <v>2.4523098E-2</v>
      </c>
      <c r="F114" s="55">
        <v>5.3699175849999996</v>
      </c>
      <c r="G114" s="55">
        <v>0.124006849</v>
      </c>
      <c r="H114" s="55">
        <v>0.24633780999999999</v>
      </c>
      <c r="I114" s="56">
        <f t="shared" ref="I114:I128" si="5">+I113+1</f>
        <v>284</v>
      </c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5"/>
      <c r="AW114" s="45"/>
    </row>
    <row r="115" spans="1:49" s="23" customFormat="1" ht="12.75">
      <c r="A115" s="57"/>
      <c r="B115" s="58"/>
      <c r="C115" s="54" t="s">
        <v>28</v>
      </c>
      <c r="D115" s="55">
        <v>20.118452019999999</v>
      </c>
      <c r="E115" s="55">
        <v>4.6169039000000002E-2</v>
      </c>
      <c r="F115" s="55">
        <v>94.283520620000004</v>
      </c>
      <c r="G115" s="55">
        <v>0.53788165099999996</v>
      </c>
      <c r="H115" s="55">
        <v>9.8934140349999993</v>
      </c>
      <c r="I115" s="56">
        <f t="shared" si="5"/>
        <v>285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5"/>
      <c r="AW115" s="45"/>
    </row>
    <row r="116" spans="1:49" s="23" customFormat="1" ht="12.75">
      <c r="A116" s="57"/>
      <c r="B116" s="60"/>
      <c r="C116" s="54" t="s">
        <v>36</v>
      </c>
      <c r="D116" s="55">
        <v>1.4315618750000001</v>
      </c>
      <c r="E116" s="55">
        <v>4.9009128999999998E-2</v>
      </c>
      <c r="F116" s="55">
        <v>2.5973197099999998</v>
      </c>
      <c r="G116" s="55">
        <v>0.247362041</v>
      </c>
      <c r="H116" s="55">
        <v>0.35538981400000003</v>
      </c>
      <c r="I116" s="56">
        <f t="shared" si="5"/>
        <v>286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5"/>
      <c r="AW116" s="45"/>
    </row>
    <row r="117" spans="1:49" s="23" customFormat="1" ht="12.75">
      <c r="A117" s="57"/>
      <c r="B117" s="53" t="s">
        <v>269</v>
      </c>
      <c r="C117" s="54" t="s">
        <v>25</v>
      </c>
      <c r="D117" s="55">
        <v>5.735352711</v>
      </c>
      <c r="E117" s="55">
        <v>5.1478863E-2</v>
      </c>
      <c r="F117" s="55">
        <v>13.729234480000001</v>
      </c>
      <c r="G117" s="55">
        <v>0.27700430199999998</v>
      </c>
      <c r="H117" s="55">
        <v>1.3437024870000001</v>
      </c>
      <c r="I117" s="56">
        <f t="shared" si="5"/>
        <v>287</v>
      </c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5"/>
      <c r="AW117" s="45"/>
    </row>
    <row r="118" spans="1:49" s="23" customFormat="1" ht="12.75">
      <c r="A118" s="57"/>
      <c r="B118" s="58"/>
      <c r="C118" s="54" t="s">
        <v>26</v>
      </c>
      <c r="D118" s="55">
        <v>1.369133419</v>
      </c>
      <c r="E118" s="55">
        <v>3.0076077E-2</v>
      </c>
      <c r="F118" s="55">
        <v>4.1652844489999996</v>
      </c>
      <c r="G118" s="55">
        <v>0.13081482</v>
      </c>
      <c r="H118" s="55">
        <v>0.32133435799999999</v>
      </c>
      <c r="I118" s="56">
        <f t="shared" si="5"/>
        <v>288</v>
      </c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5"/>
      <c r="AW118" s="45"/>
    </row>
    <row r="119" spans="1:49" s="23" customFormat="1" ht="12.75">
      <c r="A119" s="57"/>
      <c r="B119" s="58"/>
      <c r="C119" s="54" t="s">
        <v>28</v>
      </c>
      <c r="D119" s="55">
        <v>14.76494302</v>
      </c>
      <c r="E119" s="55">
        <v>4.7139670000000002E-2</v>
      </c>
      <c r="F119" s="55">
        <v>93.369277969999999</v>
      </c>
      <c r="G119" s="55">
        <v>0.55073916099999998</v>
      </c>
      <c r="H119" s="55">
        <v>6.9377783009999998</v>
      </c>
      <c r="I119" s="56">
        <f t="shared" si="5"/>
        <v>289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5"/>
      <c r="AW119" s="45"/>
    </row>
    <row r="120" spans="1:49" s="23" customFormat="1" ht="12.75">
      <c r="A120" s="57"/>
      <c r="B120" s="60"/>
      <c r="C120" s="54" t="s">
        <v>36</v>
      </c>
      <c r="D120" s="55">
        <v>1.1964321920000001</v>
      </c>
      <c r="E120" s="55">
        <v>4.9662375000000002E-2</v>
      </c>
      <c r="F120" s="55">
        <v>2.797639169</v>
      </c>
      <c r="G120" s="55">
        <v>0.211100124</v>
      </c>
      <c r="H120" s="55">
        <v>0.24624696800000001</v>
      </c>
      <c r="I120" s="56">
        <f t="shared" si="5"/>
        <v>290</v>
      </c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5"/>
      <c r="AW120" s="45"/>
    </row>
    <row r="121" spans="1:49" s="23" customFormat="1" ht="12.75">
      <c r="A121" s="57"/>
      <c r="B121" s="53" t="s">
        <v>270</v>
      </c>
      <c r="C121" s="54" t="s">
        <v>25</v>
      </c>
      <c r="D121" s="55">
        <v>7.7921720999999999E-2</v>
      </c>
      <c r="E121" s="55">
        <v>1.7406484E-2</v>
      </c>
      <c r="F121" s="55">
        <v>-1.0960599999999999E-4</v>
      </c>
      <c r="G121" s="55" t="s">
        <v>268</v>
      </c>
      <c r="H121" s="55" t="s">
        <v>268</v>
      </c>
      <c r="I121" s="56">
        <f t="shared" si="5"/>
        <v>291</v>
      </c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5"/>
      <c r="AW121" s="45"/>
    </row>
    <row r="122" spans="1:49" s="23" customFormat="1" ht="12.75">
      <c r="A122" s="57"/>
      <c r="B122" s="58"/>
      <c r="C122" s="54" t="s">
        <v>26</v>
      </c>
      <c r="D122" s="55">
        <v>0.82800978999999997</v>
      </c>
      <c r="E122" s="55">
        <v>2.4811963999999999E-2</v>
      </c>
      <c r="F122" s="55">
        <v>2.6700144809999999</v>
      </c>
      <c r="G122" s="55">
        <v>0.124882856</v>
      </c>
      <c r="H122" s="55">
        <v>0.16290553799999999</v>
      </c>
      <c r="I122" s="56">
        <f t="shared" si="5"/>
        <v>292</v>
      </c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5"/>
      <c r="AW122" s="45"/>
    </row>
    <row r="123" spans="1:49" s="23" customFormat="1" ht="12.75">
      <c r="A123" s="57"/>
      <c r="B123" s="58"/>
      <c r="C123" s="54" t="s">
        <v>28</v>
      </c>
      <c r="D123" s="55">
        <v>16.400135680000002</v>
      </c>
      <c r="E123" s="55">
        <v>4.7819705999999997E-2</v>
      </c>
      <c r="F123" s="55">
        <v>55.700266730000003</v>
      </c>
      <c r="G123" s="55">
        <v>0.44467345800000002</v>
      </c>
      <c r="H123" s="55">
        <v>7.2053656479999999</v>
      </c>
      <c r="I123" s="56">
        <f t="shared" si="5"/>
        <v>293</v>
      </c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5"/>
      <c r="AW123" s="45"/>
    </row>
    <row r="124" spans="1:49" s="23" customFormat="1" ht="12.75">
      <c r="A124" s="57"/>
      <c r="B124" s="60"/>
      <c r="C124" s="54" t="s">
        <v>36</v>
      </c>
      <c r="D124" s="55">
        <v>0.52247315000000005</v>
      </c>
      <c r="E124" s="55">
        <v>4.490651E-3</v>
      </c>
      <c r="F124" s="55">
        <v>-1.6281407000000001E-2</v>
      </c>
      <c r="G124" s="55">
        <v>2.4923114999999999E-2</v>
      </c>
      <c r="H124" s="55" t="s">
        <v>268</v>
      </c>
      <c r="I124" s="56">
        <f t="shared" si="5"/>
        <v>294</v>
      </c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5"/>
      <c r="AW124" s="45"/>
    </row>
    <row r="125" spans="1:49" s="23" customFormat="1" ht="12.75">
      <c r="A125" s="57"/>
      <c r="B125" s="53" t="s">
        <v>271</v>
      </c>
      <c r="C125" s="54" t="s">
        <v>25</v>
      </c>
      <c r="D125" s="55">
        <v>1.245883584</v>
      </c>
      <c r="E125" s="55">
        <v>103.7005375</v>
      </c>
      <c r="F125" s="55">
        <v>-1.390631247</v>
      </c>
      <c r="G125" s="55">
        <v>0.54345175000000001</v>
      </c>
      <c r="H125" s="55">
        <v>3.9006643000000001E-2</v>
      </c>
      <c r="I125" s="56">
        <f t="shared" si="5"/>
        <v>295</v>
      </c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5"/>
      <c r="AW125" s="45"/>
    </row>
    <row r="126" spans="1:49" s="23" customFormat="1" ht="12.75">
      <c r="A126" s="57"/>
      <c r="B126" s="58"/>
      <c r="C126" s="54" t="s">
        <v>26</v>
      </c>
      <c r="D126" s="55">
        <v>0.71588074800000001</v>
      </c>
      <c r="E126" s="55">
        <v>2.3466651000000002E-2</v>
      </c>
      <c r="F126" s="55">
        <v>2.798782825</v>
      </c>
      <c r="G126" s="55">
        <v>0.123459782</v>
      </c>
      <c r="H126" s="55">
        <v>0.135938586</v>
      </c>
      <c r="I126" s="56">
        <f t="shared" si="5"/>
        <v>296</v>
      </c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5"/>
      <c r="AW126" s="45"/>
    </row>
    <row r="127" spans="1:49" s="23" customFormat="1" ht="12.75">
      <c r="A127" s="57"/>
      <c r="B127" s="58"/>
      <c r="C127" s="54" t="s">
        <v>28</v>
      </c>
      <c r="D127" s="55">
        <v>14.57249962</v>
      </c>
      <c r="E127" s="55">
        <v>5.1040351999999997E-2</v>
      </c>
      <c r="F127" s="55">
        <v>45.651882800000003</v>
      </c>
      <c r="G127" s="55">
        <v>0.30924008800000002</v>
      </c>
      <c r="H127" s="55">
        <v>5.5830097570000001</v>
      </c>
      <c r="I127" s="56">
        <f t="shared" si="5"/>
        <v>297</v>
      </c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5"/>
      <c r="AW127" s="45"/>
    </row>
    <row r="128" spans="1:49" s="23" customFormat="1" ht="12.75">
      <c r="A128" s="61"/>
      <c r="B128" s="60"/>
      <c r="C128" s="54" t="s">
        <v>36</v>
      </c>
      <c r="D128" s="55">
        <v>0.42444976299999998</v>
      </c>
      <c r="E128" s="55">
        <v>4.1643679000000003E-2</v>
      </c>
      <c r="F128" s="55">
        <v>0.864328027</v>
      </c>
      <c r="G128" s="55">
        <v>0.15994593700000001</v>
      </c>
      <c r="H128" s="55">
        <v>0.100820481</v>
      </c>
      <c r="I128" s="56">
        <f t="shared" si="5"/>
        <v>298</v>
      </c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5"/>
      <c r="AW128" s="45"/>
    </row>
    <row r="129" spans="1:49" s="23" customFormat="1" ht="12.75"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5"/>
      <c r="AW129" s="45"/>
    </row>
    <row r="130" spans="1:49" s="23" customFormat="1" ht="12.75"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5"/>
      <c r="AW130" s="45"/>
    </row>
    <row r="131" spans="1:49" s="23" customFormat="1" ht="12.75">
      <c r="C131" s="23" t="s">
        <v>276</v>
      </c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5"/>
      <c r="AW131" s="45"/>
    </row>
    <row r="132" spans="1:49" s="23" customFormat="1" ht="12.75">
      <c r="A132" s="52" t="s">
        <v>258</v>
      </c>
      <c r="B132" s="52" t="s">
        <v>24</v>
      </c>
      <c r="C132" s="52" t="s">
        <v>259</v>
      </c>
      <c r="D132" s="52" t="s">
        <v>277</v>
      </c>
      <c r="E132" s="62" t="s">
        <v>260</v>
      </c>
      <c r="F132" s="63"/>
      <c r="G132" s="63"/>
      <c r="H132" s="63"/>
      <c r="I132" s="6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5"/>
      <c r="AW132" s="45"/>
    </row>
    <row r="133" spans="1:49" s="23" customFormat="1" ht="12.75">
      <c r="A133" s="61"/>
      <c r="B133" s="61"/>
      <c r="C133" s="61"/>
      <c r="D133" s="61"/>
      <c r="E133" s="65" t="s">
        <v>261</v>
      </c>
      <c r="F133" s="65" t="s">
        <v>262</v>
      </c>
      <c r="G133" s="65" t="s">
        <v>263</v>
      </c>
      <c r="H133" s="65" t="s">
        <v>264</v>
      </c>
      <c r="I133" s="65" t="s">
        <v>265</v>
      </c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5"/>
      <c r="AW133" s="45"/>
    </row>
    <row r="134" spans="1:49" s="23" customFormat="1" ht="12.75">
      <c r="A134" s="52" t="s">
        <v>278</v>
      </c>
      <c r="B134" s="53" t="s">
        <v>269</v>
      </c>
      <c r="C134" s="54" t="s">
        <v>25</v>
      </c>
      <c r="D134" s="53" t="s">
        <v>279</v>
      </c>
      <c r="E134" s="54">
        <v>29.603078</v>
      </c>
      <c r="F134" s="54">
        <v>-0.38674209999999998</v>
      </c>
      <c r="G134" s="54" t="s">
        <v>268</v>
      </c>
      <c r="H134" s="54" t="s">
        <v>268</v>
      </c>
      <c r="I134" s="54" t="s">
        <v>268</v>
      </c>
      <c r="J134" s="23">
        <v>304</v>
      </c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5"/>
      <c r="AW134" s="45"/>
    </row>
    <row r="135" spans="1:49" s="23" customFormat="1" ht="12.75">
      <c r="A135" s="57"/>
      <c r="B135" s="58"/>
      <c r="C135" s="54" t="s">
        <v>26</v>
      </c>
      <c r="D135" s="58"/>
      <c r="E135" s="54">
        <v>2.8466293</v>
      </c>
      <c r="F135" s="54">
        <v>-0.55204869999999995</v>
      </c>
      <c r="G135" s="54" t="s">
        <v>268</v>
      </c>
      <c r="H135" s="54" t="s">
        <v>268</v>
      </c>
      <c r="I135" s="54" t="s">
        <v>268</v>
      </c>
      <c r="J135" s="23">
        <f t="shared" ref="J135:J153" si="6">+J134+1</f>
        <v>305</v>
      </c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5"/>
      <c r="AW135" s="45"/>
    </row>
    <row r="136" spans="1:49" s="23" customFormat="1" ht="12.75">
      <c r="A136" s="57"/>
      <c r="B136" s="58"/>
      <c r="C136" s="54" t="s">
        <v>28</v>
      </c>
      <c r="D136" s="60"/>
      <c r="E136" s="54">
        <v>32.466723999999999</v>
      </c>
      <c r="F136" s="54">
        <v>-0.39494161999999999</v>
      </c>
      <c r="G136" s="54" t="s">
        <v>268</v>
      </c>
      <c r="H136" s="54" t="s">
        <v>268</v>
      </c>
      <c r="I136" s="54" t="s">
        <v>268</v>
      </c>
      <c r="J136" s="23">
        <f t="shared" si="6"/>
        <v>306</v>
      </c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5"/>
      <c r="AW136" s="45"/>
    </row>
    <row r="137" spans="1:49" s="23" customFormat="1" ht="12.75">
      <c r="A137" s="57"/>
      <c r="B137" s="60"/>
      <c r="C137" s="54" t="s">
        <v>36</v>
      </c>
      <c r="D137" s="54" t="s">
        <v>280</v>
      </c>
      <c r="E137" s="54">
        <v>0.411713</v>
      </c>
      <c r="F137" s="54">
        <v>7.0725550999999998E-2</v>
      </c>
      <c r="G137" s="54">
        <v>-1.4518199999999999E-4</v>
      </c>
      <c r="H137" s="54" t="s">
        <v>268</v>
      </c>
      <c r="I137" s="54" t="s">
        <v>268</v>
      </c>
      <c r="J137" s="23">
        <f t="shared" si="6"/>
        <v>307</v>
      </c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5"/>
      <c r="AW137" s="45"/>
    </row>
    <row r="138" spans="1:49" s="23" customFormat="1" ht="12.75">
      <c r="A138" s="57"/>
      <c r="B138" s="53" t="s">
        <v>270</v>
      </c>
      <c r="C138" s="54" t="s">
        <v>25</v>
      </c>
      <c r="D138" s="53" t="s">
        <v>279</v>
      </c>
      <c r="E138" s="54">
        <v>21.523008999999998</v>
      </c>
      <c r="F138" s="54">
        <v>-0.39878202000000001</v>
      </c>
      <c r="G138" s="54" t="s">
        <v>268</v>
      </c>
      <c r="H138" s="54" t="s">
        <v>268</v>
      </c>
      <c r="I138" s="54" t="s">
        <v>268</v>
      </c>
      <c r="J138" s="23">
        <f t="shared" si="6"/>
        <v>308</v>
      </c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5"/>
      <c r="AW138" s="45"/>
    </row>
    <row r="139" spans="1:49" s="23" customFormat="1" ht="12.75">
      <c r="A139" s="57"/>
      <c r="B139" s="58"/>
      <c r="C139" s="54" t="s">
        <v>26</v>
      </c>
      <c r="D139" s="58"/>
      <c r="E139" s="54">
        <v>8.7071544999999997</v>
      </c>
      <c r="F139" s="54">
        <v>-0.87175727000000003</v>
      </c>
      <c r="G139" s="54" t="s">
        <v>268</v>
      </c>
      <c r="H139" s="54" t="s">
        <v>268</v>
      </c>
      <c r="I139" s="54" t="s">
        <v>268</v>
      </c>
      <c r="J139" s="23">
        <f t="shared" si="6"/>
        <v>309</v>
      </c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5"/>
      <c r="AW139" s="45"/>
    </row>
    <row r="140" spans="1:49" s="23" customFormat="1" ht="12.75">
      <c r="A140" s="57"/>
      <c r="B140" s="58"/>
      <c r="C140" s="54" t="s">
        <v>28</v>
      </c>
      <c r="D140" s="60"/>
      <c r="E140" s="54">
        <v>44.098728999999999</v>
      </c>
      <c r="F140" s="54">
        <v>-0.50197590000000003</v>
      </c>
      <c r="G140" s="54" t="s">
        <v>268</v>
      </c>
      <c r="H140" s="54" t="s">
        <v>268</v>
      </c>
      <c r="I140" s="54" t="s">
        <v>268</v>
      </c>
      <c r="J140" s="23">
        <f t="shared" si="6"/>
        <v>310</v>
      </c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5"/>
      <c r="AW140" s="45"/>
    </row>
    <row r="141" spans="1:49" s="23" customFormat="1" ht="12.75">
      <c r="A141" s="57"/>
      <c r="B141" s="60"/>
      <c r="C141" s="54" t="s">
        <v>36</v>
      </c>
      <c r="D141" s="54" t="s">
        <v>280</v>
      </c>
      <c r="E141" s="54">
        <v>0.51738529300000002</v>
      </c>
      <c r="F141" s="54">
        <v>-6.3330835000000002E-2</v>
      </c>
      <c r="G141" s="54">
        <v>0.114057294</v>
      </c>
      <c r="H141" s="54" t="s">
        <v>268</v>
      </c>
      <c r="I141" s="54" t="s">
        <v>268</v>
      </c>
      <c r="J141" s="23">
        <f t="shared" si="6"/>
        <v>311</v>
      </c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5"/>
      <c r="AW141" s="45"/>
    </row>
    <row r="142" spans="1:49" s="23" customFormat="1" ht="12.75">
      <c r="A142" s="57"/>
      <c r="B142" s="53" t="s">
        <v>271</v>
      </c>
      <c r="C142" s="54" t="s">
        <v>25</v>
      </c>
      <c r="D142" s="53" t="s">
        <v>279</v>
      </c>
      <c r="E142" s="54">
        <v>97.717572000000004</v>
      </c>
      <c r="F142" s="54">
        <v>-1.1203813</v>
      </c>
      <c r="G142" s="54" t="s">
        <v>268</v>
      </c>
      <c r="H142" s="54" t="s">
        <v>268</v>
      </c>
      <c r="I142" s="54" t="s">
        <v>268</v>
      </c>
      <c r="J142" s="23">
        <f t="shared" si="6"/>
        <v>312</v>
      </c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5"/>
      <c r="AW142" s="45"/>
    </row>
    <row r="143" spans="1:49" s="23" customFormat="1" ht="12.75">
      <c r="A143" s="57"/>
      <c r="B143" s="58"/>
      <c r="C143" s="54" t="s">
        <v>26</v>
      </c>
      <c r="D143" s="58"/>
      <c r="E143" s="54">
        <v>26.090568999999999</v>
      </c>
      <c r="F143" s="54">
        <v>-1.4350394</v>
      </c>
      <c r="G143" s="54" t="s">
        <v>268</v>
      </c>
      <c r="H143" s="54" t="s">
        <v>268</v>
      </c>
      <c r="I143" s="54" t="s">
        <v>268</v>
      </c>
      <c r="J143" s="23">
        <f t="shared" si="6"/>
        <v>313</v>
      </c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5"/>
      <c r="AW143" s="45"/>
    </row>
    <row r="144" spans="1:49" s="23" customFormat="1" ht="12.75">
      <c r="A144" s="57"/>
      <c r="B144" s="58"/>
      <c r="C144" s="54" t="s">
        <v>28</v>
      </c>
      <c r="D144" s="60"/>
      <c r="E144" s="54">
        <v>40.889634999999998</v>
      </c>
      <c r="F144" s="54">
        <v>-0.57177679000000003</v>
      </c>
      <c r="G144" s="54" t="s">
        <v>268</v>
      </c>
      <c r="H144" s="54" t="s">
        <v>268</v>
      </c>
      <c r="I144" s="54" t="s">
        <v>268</v>
      </c>
      <c r="J144" s="23">
        <f t="shared" si="6"/>
        <v>314</v>
      </c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5"/>
      <c r="AW144" s="45"/>
    </row>
    <row r="145" spans="1:49" s="23" customFormat="1" ht="12.75">
      <c r="A145" s="61"/>
      <c r="B145" s="60"/>
      <c r="C145" s="54" t="s">
        <v>36</v>
      </c>
      <c r="D145" s="54" t="s">
        <v>280</v>
      </c>
      <c r="E145" s="54">
        <v>0.45322566800000003</v>
      </c>
      <c r="F145" s="54">
        <v>5.5584253E-2</v>
      </c>
      <c r="G145" s="54">
        <v>1250.7352330000001</v>
      </c>
      <c r="H145" s="54">
        <v>1.7427793819999999</v>
      </c>
      <c r="I145" s="54">
        <v>9.4140067999999993E-2</v>
      </c>
      <c r="J145" s="23">
        <f t="shared" si="6"/>
        <v>315</v>
      </c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5"/>
      <c r="AW145" s="45"/>
    </row>
    <row r="146" spans="1:49" s="23" customFormat="1" ht="12.75">
      <c r="A146" s="52" t="s">
        <v>281</v>
      </c>
      <c r="B146" s="53" t="s">
        <v>282</v>
      </c>
      <c r="C146" s="54" t="s">
        <v>25</v>
      </c>
      <c r="D146" s="53" t="s">
        <v>279</v>
      </c>
      <c r="E146" s="54">
        <v>75.810162000000005</v>
      </c>
      <c r="F146" s="54">
        <v>-0.91547860999999997</v>
      </c>
      <c r="G146" s="54" t="s">
        <v>268</v>
      </c>
      <c r="H146" s="54" t="s">
        <v>268</v>
      </c>
      <c r="I146" s="54" t="s">
        <v>268</v>
      </c>
      <c r="J146" s="23">
        <f t="shared" si="6"/>
        <v>316</v>
      </c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5"/>
      <c r="AW146" s="45"/>
    </row>
    <row r="147" spans="1:49" s="23" customFormat="1" ht="12.75">
      <c r="A147" s="57"/>
      <c r="B147" s="58"/>
      <c r="C147" s="54" t="s">
        <v>26</v>
      </c>
      <c r="D147" s="58"/>
      <c r="E147" s="54">
        <v>0.68909222999999997</v>
      </c>
      <c r="F147" s="54">
        <v>-0.68433796999999996</v>
      </c>
      <c r="G147" s="54" t="s">
        <v>268</v>
      </c>
      <c r="H147" s="54" t="s">
        <v>268</v>
      </c>
      <c r="I147" s="54" t="s">
        <v>268</v>
      </c>
      <c r="J147" s="23">
        <f t="shared" si="6"/>
        <v>317</v>
      </c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5"/>
      <c r="AW147" s="45"/>
    </row>
    <row r="148" spans="1:49" s="23" customFormat="1" ht="12.75">
      <c r="A148" s="57"/>
      <c r="B148" s="58"/>
      <c r="C148" s="54" t="s">
        <v>28</v>
      </c>
      <c r="D148" s="60"/>
      <c r="E148" s="54">
        <v>74.628602999999998</v>
      </c>
      <c r="F148" s="54">
        <v>-0.59085208</v>
      </c>
      <c r="G148" s="54" t="s">
        <v>268</v>
      </c>
      <c r="H148" s="54" t="s">
        <v>268</v>
      </c>
      <c r="I148" s="54" t="s">
        <v>268</v>
      </c>
      <c r="J148" s="23">
        <f t="shared" si="6"/>
        <v>318</v>
      </c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5"/>
      <c r="AW148" s="45"/>
    </row>
    <row r="149" spans="1:49" s="23" customFormat="1" ht="12.75">
      <c r="A149" s="57"/>
      <c r="B149" s="60"/>
      <c r="C149" s="54" t="s">
        <v>36</v>
      </c>
      <c r="D149" s="54" t="s">
        <v>280</v>
      </c>
      <c r="E149" s="54">
        <v>0.45322566800000003</v>
      </c>
      <c r="F149" s="54">
        <v>5.5584253E-2</v>
      </c>
      <c r="G149" s="54">
        <v>1250.7352330000001</v>
      </c>
      <c r="H149" s="54">
        <v>1.7427793819999999</v>
      </c>
      <c r="I149" s="54">
        <v>9.4140067999999993E-2</v>
      </c>
      <c r="J149" s="23">
        <f t="shared" si="6"/>
        <v>319</v>
      </c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5"/>
      <c r="AW149" s="45"/>
    </row>
    <row r="150" spans="1:49" s="23" customFormat="1" ht="12.75">
      <c r="A150" s="57"/>
      <c r="B150" s="53" t="s">
        <v>283</v>
      </c>
      <c r="C150" s="54" t="s">
        <v>25</v>
      </c>
      <c r="D150" s="53" t="s">
        <v>279</v>
      </c>
      <c r="E150" s="54">
        <v>126.09434</v>
      </c>
      <c r="F150" s="54">
        <v>-0.67157602999999999</v>
      </c>
      <c r="G150" s="54" t="s">
        <v>268</v>
      </c>
      <c r="H150" s="54" t="s">
        <v>268</v>
      </c>
      <c r="I150" s="54" t="s">
        <v>268</v>
      </c>
      <c r="J150" s="23">
        <f t="shared" si="6"/>
        <v>320</v>
      </c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5"/>
      <c r="AW150" s="45"/>
    </row>
    <row r="151" spans="1:49" s="23" customFormat="1" ht="12.75">
      <c r="A151" s="57"/>
      <c r="B151" s="58"/>
      <c r="C151" s="54" t="s">
        <v>26</v>
      </c>
      <c r="D151" s="58"/>
      <c r="E151" s="54">
        <v>1.3897904000000001</v>
      </c>
      <c r="F151" s="54">
        <v>-0.56531275999999997</v>
      </c>
      <c r="G151" s="54" t="s">
        <v>268</v>
      </c>
      <c r="H151" s="54" t="s">
        <v>268</v>
      </c>
      <c r="I151" s="54" t="s">
        <v>268</v>
      </c>
      <c r="J151" s="23">
        <f t="shared" si="6"/>
        <v>321</v>
      </c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5"/>
      <c r="AW151" s="45"/>
    </row>
    <row r="152" spans="1:49" s="23" customFormat="1" ht="12.75">
      <c r="A152" s="57"/>
      <c r="B152" s="58"/>
      <c r="C152" s="54" t="s">
        <v>28</v>
      </c>
      <c r="D152" s="60"/>
      <c r="E152" s="54">
        <v>65.324610000000007</v>
      </c>
      <c r="F152" s="54">
        <v>-0.55464236</v>
      </c>
      <c r="G152" s="54" t="s">
        <v>268</v>
      </c>
      <c r="H152" s="54" t="s">
        <v>268</v>
      </c>
      <c r="I152" s="54" t="s">
        <v>268</v>
      </c>
      <c r="J152" s="23">
        <f t="shared" si="6"/>
        <v>322</v>
      </c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5"/>
      <c r="AW152" s="45"/>
    </row>
    <row r="153" spans="1:49" s="23" customFormat="1" ht="12.75">
      <c r="A153" s="61"/>
      <c r="B153" s="60"/>
      <c r="C153" s="54" t="s">
        <v>36</v>
      </c>
      <c r="D153" s="54" t="s">
        <v>280</v>
      </c>
      <c r="E153" s="54">
        <v>0.53601204899999999</v>
      </c>
      <c r="F153" s="54">
        <v>-5.6185528999999998E-2</v>
      </c>
      <c r="G153" s="54">
        <v>0.11219273</v>
      </c>
      <c r="H153" s="54" t="s">
        <v>268</v>
      </c>
      <c r="I153" s="54" t="s">
        <v>268</v>
      </c>
      <c r="J153" s="23">
        <f t="shared" si="6"/>
        <v>323</v>
      </c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5"/>
      <c r="AW153" s="45"/>
    </row>
    <row r="154" spans="1:49" s="23" customFormat="1" ht="12.75"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5"/>
      <c r="AW154" s="45"/>
    </row>
    <row r="155" spans="1:49" s="23" customFormat="1" ht="12.75"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5"/>
      <c r="AW155" s="45"/>
    </row>
    <row r="156" spans="1:49" s="23" customFormat="1" ht="12.75"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5"/>
      <c r="AW156" s="45"/>
    </row>
    <row r="157" spans="1:49" s="23" customFormat="1" ht="12.75"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5"/>
      <c r="AW157" s="45"/>
    </row>
    <row r="158" spans="1:49" s="23" customFormat="1" ht="13.5" thickBot="1">
      <c r="A158" s="23" t="s">
        <v>284</v>
      </c>
      <c r="C158" s="23" t="s">
        <v>285</v>
      </c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5"/>
      <c r="AW158" s="45"/>
    </row>
    <row r="159" spans="1:49" s="23" customFormat="1" ht="13.5" thickBot="1">
      <c r="A159" s="66" t="s">
        <v>286</v>
      </c>
      <c r="B159" s="67" t="s">
        <v>258</v>
      </c>
      <c r="C159" s="67" t="s">
        <v>24</v>
      </c>
      <c r="D159" s="67" t="s">
        <v>261</v>
      </c>
      <c r="E159" s="67" t="s">
        <v>262</v>
      </c>
      <c r="F159" s="67" t="s">
        <v>263</v>
      </c>
      <c r="G159" s="67" t="s">
        <v>264</v>
      </c>
      <c r="H159" s="67" t="s">
        <v>265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5"/>
      <c r="AW159" s="45"/>
    </row>
    <row r="160" spans="1:49" s="23" customFormat="1" ht="13.5" thickBot="1">
      <c r="A160" s="68" t="s">
        <v>287</v>
      </c>
      <c r="B160" s="69" t="s">
        <v>288</v>
      </c>
      <c r="C160" s="70" t="s">
        <v>289</v>
      </c>
      <c r="D160" s="71">
        <v>681</v>
      </c>
      <c r="E160" s="71">
        <v>-0.58299999999999996</v>
      </c>
      <c r="F160" s="71" t="s">
        <v>290</v>
      </c>
      <c r="G160" s="71" t="s">
        <v>268</v>
      </c>
      <c r="H160" s="71" t="s">
        <v>268</v>
      </c>
      <c r="I160" s="23">
        <v>188</v>
      </c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5"/>
      <c r="AW160" s="45"/>
    </row>
    <row r="161" spans="1:49" s="23" customFormat="1" ht="13.5" thickBot="1">
      <c r="A161" s="72"/>
      <c r="B161" s="69" t="s">
        <v>19</v>
      </c>
      <c r="C161" s="70" t="s">
        <v>269</v>
      </c>
      <c r="D161" s="71">
        <v>199</v>
      </c>
      <c r="E161" s="71">
        <v>8.9200000000000002E-2</v>
      </c>
      <c r="F161" s="71">
        <v>0.34599999999999997</v>
      </c>
      <c r="G161" s="71">
        <v>-5.3799999999999996E-4</v>
      </c>
      <c r="H161" s="71">
        <v>0</v>
      </c>
      <c r="I161" s="56">
        <f>+I160+1</f>
        <v>189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5"/>
      <c r="AW161" s="45"/>
    </row>
    <row r="162" spans="1:49" s="23" customFormat="1" ht="13.5" thickBot="1">
      <c r="A162" s="72"/>
      <c r="B162" s="73"/>
      <c r="C162" s="70" t="s">
        <v>291</v>
      </c>
      <c r="D162" s="71">
        <v>347</v>
      </c>
      <c r="E162" s="71">
        <v>0.217</v>
      </c>
      <c r="F162" s="71">
        <v>2.73</v>
      </c>
      <c r="G162" s="71">
        <v>-9.1100000000000003E-4</v>
      </c>
      <c r="H162" s="71">
        <v>4.28E-3</v>
      </c>
      <c r="I162" s="56">
        <f t="shared" ref="I162:I197" si="7">+I161+1</f>
        <v>190</v>
      </c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5"/>
      <c r="AW162" s="45"/>
    </row>
    <row r="163" spans="1:49" s="23" customFormat="1" ht="13.5" thickBot="1">
      <c r="A163" s="72"/>
      <c r="B163" s="73"/>
      <c r="C163" s="70" t="s">
        <v>292</v>
      </c>
      <c r="D163" s="71">
        <v>217</v>
      </c>
      <c r="E163" s="71">
        <v>9.6000000000000002E-2</v>
      </c>
      <c r="F163" s="71">
        <v>0.253</v>
      </c>
      <c r="G163" s="71">
        <v>-4.2099999999999999E-4</v>
      </c>
      <c r="H163" s="71">
        <v>9.6500000000000006E-3</v>
      </c>
      <c r="I163" s="56">
        <f t="shared" si="7"/>
        <v>191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5"/>
      <c r="AW163" s="45"/>
    </row>
    <row r="164" spans="1:49" s="23" customFormat="1" ht="13.5" thickBot="1">
      <c r="A164" s="72"/>
      <c r="B164" s="74"/>
      <c r="C164" s="70" t="s">
        <v>293</v>
      </c>
      <c r="D164" s="71">
        <v>174</v>
      </c>
      <c r="E164" s="71">
        <v>6.8500000000000005E-2</v>
      </c>
      <c r="F164" s="71">
        <v>0.36399999999999999</v>
      </c>
      <c r="G164" s="71">
        <v>-2.4699999999999999E-4</v>
      </c>
      <c r="H164" s="71">
        <v>8.7399999999999995E-3</v>
      </c>
      <c r="I164" s="56">
        <f t="shared" si="7"/>
        <v>192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5"/>
      <c r="AW164" s="45"/>
    </row>
    <row r="165" spans="1:49" s="23" customFormat="1" ht="13.5" thickBot="1">
      <c r="A165" s="72"/>
      <c r="B165" s="69" t="s">
        <v>288</v>
      </c>
      <c r="C165" s="70" t="s">
        <v>289</v>
      </c>
      <c r="D165" s="71">
        <v>118.489</v>
      </c>
      <c r="E165" s="71">
        <v>-2.0840000000000001</v>
      </c>
      <c r="F165" s="71">
        <v>1.4E-2</v>
      </c>
      <c r="G165" s="71" t="s">
        <v>268</v>
      </c>
      <c r="H165" s="71" t="s">
        <v>268</v>
      </c>
      <c r="I165" s="23">
        <f t="shared" si="7"/>
        <v>193</v>
      </c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5"/>
      <c r="AW165" s="45"/>
    </row>
    <row r="166" spans="1:49" s="23" customFormat="1" ht="13.5" thickBot="1">
      <c r="A166" s="72"/>
      <c r="B166" s="69" t="s">
        <v>20</v>
      </c>
      <c r="C166" s="70" t="s">
        <v>269</v>
      </c>
      <c r="D166" s="71">
        <v>145</v>
      </c>
      <c r="E166" s="71">
        <v>6.7299999999999999E-2</v>
      </c>
      <c r="F166" s="71">
        <v>-0.188</v>
      </c>
      <c r="G166" s="71">
        <v>-3.1700000000000001E-4</v>
      </c>
      <c r="H166" s="71">
        <v>9.4699999999999993E-3</v>
      </c>
      <c r="I166" s="56">
        <f t="shared" si="7"/>
        <v>194</v>
      </c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5"/>
      <c r="AW166" s="45"/>
    </row>
    <row r="167" spans="1:49" s="23" customFormat="1" ht="13.5" thickBot="1">
      <c r="A167" s="72"/>
      <c r="B167" s="73"/>
      <c r="C167" s="70" t="s">
        <v>291</v>
      </c>
      <c r="D167" s="71">
        <v>142</v>
      </c>
      <c r="E167" s="71">
        <v>4.9799999999999997E-2</v>
      </c>
      <c r="F167" s="71">
        <v>-0.65100000000000002</v>
      </c>
      <c r="G167" s="71">
        <v>-1.6899999999999999E-4</v>
      </c>
      <c r="H167" s="71">
        <v>1.32E-2</v>
      </c>
      <c r="I167" s="56">
        <f t="shared" si="7"/>
        <v>195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5"/>
      <c r="AW167" s="45"/>
    </row>
    <row r="168" spans="1:49" s="23" customFormat="1" ht="13.5" thickBot="1">
      <c r="A168" s="72"/>
      <c r="B168" s="73"/>
      <c r="C168" s="70" t="s">
        <v>292</v>
      </c>
      <c r="D168" s="71">
        <v>162</v>
      </c>
      <c r="E168" s="71">
        <v>0.123</v>
      </c>
      <c r="F168" s="71">
        <v>2.1800000000000002</v>
      </c>
      <c r="G168" s="71">
        <v>-7.76E-4</v>
      </c>
      <c r="H168" s="71">
        <v>-1.2800000000000001E-2</v>
      </c>
      <c r="I168" s="56">
        <f t="shared" si="7"/>
        <v>196</v>
      </c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5"/>
      <c r="AW168" s="45"/>
    </row>
    <row r="169" spans="1:49" s="23" customFormat="1" ht="13.5" thickBot="1">
      <c r="A169" s="72"/>
      <c r="B169" s="74"/>
      <c r="C169" s="70" t="s">
        <v>293</v>
      </c>
      <c r="D169" s="71">
        <v>162</v>
      </c>
      <c r="E169" s="71">
        <v>0.123</v>
      </c>
      <c r="F169" s="71">
        <v>2.1800000000000002</v>
      </c>
      <c r="G169" s="71">
        <v>-7.76E-4</v>
      </c>
      <c r="H169" s="71">
        <v>-1.2800000000000001E-2</v>
      </c>
      <c r="I169" s="56">
        <f t="shared" si="7"/>
        <v>197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5"/>
      <c r="AW169" s="45"/>
    </row>
    <row r="170" spans="1:49" s="23" customFormat="1" ht="13.5" thickBot="1">
      <c r="A170" s="72"/>
      <c r="B170" s="69" t="s">
        <v>294</v>
      </c>
      <c r="C170" s="70" t="s">
        <v>289</v>
      </c>
      <c r="D170" s="71">
        <v>161.51</v>
      </c>
      <c r="E170" s="71">
        <v>-2.649</v>
      </c>
      <c r="F170" s="71">
        <v>1.67E-2</v>
      </c>
      <c r="G170" s="71" t="s">
        <v>268</v>
      </c>
      <c r="H170" s="71" t="s">
        <v>268</v>
      </c>
      <c r="I170" s="56">
        <f t="shared" si="7"/>
        <v>198</v>
      </c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5"/>
      <c r="AW170" s="45"/>
    </row>
    <row r="171" spans="1:49" s="23" customFormat="1" ht="13.5" thickBot="1">
      <c r="A171" s="72"/>
      <c r="B171" s="69" t="s">
        <v>19</v>
      </c>
      <c r="C171" s="70" t="s">
        <v>269</v>
      </c>
      <c r="D171" s="71">
        <v>188.85</v>
      </c>
      <c r="E171" s="71">
        <v>-3.09</v>
      </c>
      <c r="F171" s="71">
        <v>1.95E-2</v>
      </c>
      <c r="G171" s="71" t="s">
        <v>268</v>
      </c>
      <c r="H171" s="71" t="s">
        <v>268</v>
      </c>
      <c r="I171" s="56">
        <f t="shared" si="7"/>
        <v>199</v>
      </c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5"/>
      <c r="AW171" s="45"/>
    </row>
    <row r="172" spans="1:49" s="23" customFormat="1" ht="13.5" thickBot="1">
      <c r="A172" s="72"/>
      <c r="B172" s="73"/>
      <c r="C172" s="70" t="s">
        <v>291</v>
      </c>
      <c r="D172" s="71">
        <v>188.85</v>
      </c>
      <c r="E172" s="71">
        <v>-3.09</v>
      </c>
      <c r="F172" s="71">
        <v>1.95E-2</v>
      </c>
      <c r="G172" s="71" t="s">
        <v>268</v>
      </c>
      <c r="H172" s="71" t="s">
        <v>268</v>
      </c>
      <c r="I172" s="56">
        <f t="shared" si="7"/>
        <v>200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5"/>
      <c r="AW172" s="45"/>
    </row>
    <row r="173" spans="1:49" s="23" customFormat="1" ht="13.5" thickBot="1">
      <c r="A173" s="72"/>
      <c r="B173" s="73"/>
      <c r="C173" s="70" t="s">
        <v>292</v>
      </c>
      <c r="D173" s="71">
        <v>188.85</v>
      </c>
      <c r="E173" s="71">
        <v>-3.09</v>
      </c>
      <c r="F173" s="71">
        <v>1.95E-2</v>
      </c>
      <c r="G173" s="71" t="s">
        <v>268</v>
      </c>
      <c r="H173" s="71" t="s">
        <v>268</v>
      </c>
      <c r="I173" s="56">
        <f t="shared" si="7"/>
        <v>201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5"/>
      <c r="AW173" s="45"/>
    </row>
    <row r="174" spans="1:49" s="23" customFormat="1" ht="13.5" thickBot="1">
      <c r="A174" s="72"/>
      <c r="B174" s="74"/>
      <c r="C174" s="70" t="s">
        <v>293</v>
      </c>
      <c r="D174" s="71">
        <v>189</v>
      </c>
      <c r="E174" s="71">
        <v>-3.09</v>
      </c>
      <c r="F174" s="71">
        <v>1.95E-2</v>
      </c>
      <c r="G174" s="71" t="s">
        <v>268</v>
      </c>
      <c r="H174" s="71" t="s">
        <v>268</v>
      </c>
      <c r="I174" s="56">
        <f t="shared" si="7"/>
        <v>202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5"/>
      <c r="AW174" s="45"/>
    </row>
    <row r="175" spans="1:49" s="23" customFormat="1" ht="13.5" thickBot="1">
      <c r="A175" s="72"/>
      <c r="B175" s="69" t="s">
        <v>294</v>
      </c>
      <c r="C175" s="70" t="s">
        <v>289</v>
      </c>
      <c r="D175" s="71">
        <v>118.489</v>
      </c>
      <c r="E175" s="71">
        <v>-2.0840000000000001</v>
      </c>
      <c r="F175" s="71">
        <v>1.4E-2</v>
      </c>
      <c r="G175" s="71" t="s">
        <v>268</v>
      </c>
      <c r="H175" s="71" t="s">
        <v>268</v>
      </c>
      <c r="I175" s="56">
        <f t="shared" si="7"/>
        <v>203</v>
      </c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5"/>
      <c r="AW175" s="45"/>
    </row>
    <row r="176" spans="1:49" s="23" customFormat="1" ht="13.5" thickBot="1">
      <c r="A176" s="72"/>
      <c r="B176" s="69" t="s">
        <v>20</v>
      </c>
      <c r="C176" s="70" t="s">
        <v>269</v>
      </c>
      <c r="D176" s="71">
        <v>195</v>
      </c>
      <c r="E176" s="71">
        <v>7.1900000000000006E-2</v>
      </c>
      <c r="F176" s="71">
        <v>0.187</v>
      </c>
      <c r="G176" s="71">
        <v>-3.3199999999999999E-4</v>
      </c>
      <c r="H176" s="71">
        <v>9.9900000000000006E-3</v>
      </c>
      <c r="I176" s="56">
        <f t="shared" si="7"/>
        <v>204</v>
      </c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5"/>
      <c r="AW176" s="45"/>
    </row>
    <row r="177" spans="1:49" s="23" customFormat="1" ht="13.5" thickBot="1">
      <c r="A177" s="72"/>
      <c r="B177" s="73"/>
      <c r="C177" s="70" t="s">
        <v>291</v>
      </c>
      <c r="D177" s="71">
        <v>195</v>
      </c>
      <c r="E177" s="71">
        <v>7.1900000000000006E-2</v>
      </c>
      <c r="F177" s="71">
        <v>0.187</v>
      </c>
      <c r="G177" s="71">
        <v>-3.3199999999999999E-4</v>
      </c>
      <c r="H177" s="71">
        <v>9.9900000000000006E-3</v>
      </c>
      <c r="I177" s="56">
        <f t="shared" si="7"/>
        <v>205</v>
      </c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5"/>
      <c r="AW177" s="45"/>
    </row>
    <row r="178" spans="1:49" s="23" customFormat="1" ht="13.5" thickBot="1">
      <c r="A178" s="72"/>
      <c r="B178" s="73"/>
      <c r="C178" s="70" t="s">
        <v>292</v>
      </c>
      <c r="D178" s="71">
        <v>195</v>
      </c>
      <c r="E178" s="71">
        <v>7.1900000000000006E-2</v>
      </c>
      <c r="F178" s="71">
        <v>0.187</v>
      </c>
      <c r="G178" s="71">
        <v>-3.3199999999999999E-4</v>
      </c>
      <c r="H178" s="71">
        <v>9.9900000000000006E-3</v>
      </c>
      <c r="I178" s="56">
        <f t="shared" si="7"/>
        <v>206</v>
      </c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5"/>
      <c r="AW178" s="45"/>
    </row>
    <row r="179" spans="1:49" s="23" customFormat="1" ht="13.5" thickBot="1">
      <c r="A179" s="75"/>
      <c r="B179" s="74"/>
      <c r="C179" s="70" t="s">
        <v>293</v>
      </c>
      <c r="D179" s="71">
        <v>195</v>
      </c>
      <c r="E179" s="71">
        <v>7.1900000000000006E-2</v>
      </c>
      <c r="F179" s="71">
        <v>0.187</v>
      </c>
      <c r="G179" s="71">
        <v>-3.3199999999999999E-4</v>
      </c>
      <c r="H179" s="71">
        <v>9.9900000000000006E-3</v>
      </c>
      <c r="I179" s="56">
        <f t="shared" si="7"/>
        <v>207</v>
      </c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5"/>
      <c r="AW179" s="45"/>
    </row>
    <row r="180" spans="1:49" s="23" customFormat="1" ht="13.5" thickBot="1">
      <c r="A180" s="68" t="s">
        <v>295</v>
      </c>
      <c r="B180" s="68" t="s">
        <v>287</v>
      </c>
      <c r="C180" s="70" t="s">
        <v>267</v>
      </c>
      <c r="D180" s="71">
        <v>2.3086000000000001E-3</v>
      </c>
      <c r="E180" s="71">
        <v>2.276E-4</v>
      </c>
      <c r="F180" s="71">
        <v>-1.9E-6</v>
      </c>
      <c r="G180" s="71" t="s">
        <v>268</v>
      </c>
      <c r="H180" s="71" t="s">
        <v>268</v>
      </c>
      <c r="I180" s="56">
        <f t="shared" si="7"/>
        <v>208</v>
      </c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5"/>
      <c r="AW180" s="45"/>
    </row>
    <row r="181" spans="1:49" s="23" customFormat="1" ht="13.5" thickBot="1">
      <c r="A181" s="72"/>
      <c r="B181" s="72"/>
      <c r="C181" s="70" t="s">
        <v>269</v>
      </c>
      <c r="D181" s="71">
        <v>3.0039999999999998E-4</v>
      </c>
      <c r="E181" s="71">
        <v>2.6887724999999998</v>
      </c>
      <c r="F181" s="71">
        <v>465.25320010000002</v>
      </c>
      <c r="G181" s="71">
        <v>-0.43986180000000002</v>
      </c>
      <c r="H181" s="71" t="s">
        <v>268</v>
      </c>
      <c r="I181" s="56">
        <f t="shared" si="7"/>
        <v>209</v>
      </c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5"/>
      <c r="AW181" s="45"/>
    </row>
    <row r="182" spans="1:49" s="23" customFormat="1" ht="13.5" thickBot="1">
      <c r="A182" s="72"/>
      <c r="B182" s="72"/>
      <c r="C182" s="70" t="s">
        <v>291</v>
      </c>
      <c r="D182" s="71">
        <v>0.69126529999999997</v>
      </c>
      <c r="E182" s="71">
        <v>-4.4303700000000001E-2</v>
      </c>
      <c r="F182" s="71">
        <v>160.74981260000001</v>
      </c>
      <c r="G182" s="71">
        <v>7.1089899999999998E-2</v>
      </c>
      <c r="H182" s="71">
        <v>79.292305200000001</v>
      </c>
      <c r="I182" s="56">
        <f t="shared" si="7"/>
        <v>210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5"/>
      <c r="AW182" s="45"/>
    </row>
    <row r="183" spans="1:49" s="23" customFormat="1" ht="13.5" thickBot="1">
      <c r="A183" s="72"/>
      <c r="B183" s="75"/>
      <c r="C183" s="70" t="s">
        <v>292</v>
      </c>
      <c r="D183" s="76">
        <v>5.22E-4</v>
      </c>
      <c r="E183" s="76">
        <v>2.5588516000000001</v>
      </c>
      <c r="F183" s="76">
        <v>437.50911489999999</v>
      </c>
      <c r="G183" s="76">
        <v>-0.42156569999999999</v>
      </c>
      <c r="H183" s="76"/>
      <c r="I183" s="56">
        <f t="shared" si="7"/>
        <v>211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5"/>
      <c r="AW183" s="45"/>
    </row>
    <row r="184" spans="1:49" s="23" customFormat="1" ht="13.5" thickBot="1">
      <c r="A184" s="72"/>
      <c r="B184" s="68" t="s">
        <v>296</v>
      </c>
      <c r="C184" s="70" t="s">
        <v>267</v>
      </c>
      <c r="D184" s="71">
        <v>1.0145E-3</v>
      </c>
      <c r="E184" s="71">
        <v>1.506E-4</v>
      </c>
      <c r="F184" s="71">
        <v>-1.1000000000000001E-6</v>
      </c>
      <c r="G184" s="71" t="s">
        <v>268</v>
      </c>
      <c r="H184" s="71" t="s">
        <v>268</v>
      </c>
      <c r="I184" s="56">
        <f t="shared" si="7"/>
        <v>212</v>
      </c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5"/>
      <c r="AW184" s="45"/>
    </row>
    <row r="185" spans="1:49" s="23" customFormat="1" ht="13.5" thickBot="1">
      <c r="A185" s="72"/>
      <c r="B185" s="72"/>
      <c r="C185" s="70" t="s">
        <v>269</v>
      </c>
      <c r="D185" s="71">
        <v>1.4201000000000001E-3</v>
      </c>
      <c r="E185" s="71">
        <v>1.682E-4</v>
      </c>
      <c r="F185" s="71">
        <v>-1.3E-6</v>
      </c>
      <c r="G185" s="71" t="s">
        <v>268</v>
      </c>
      <c r="H185" s="71" t="s">
        <v>268</v>
      </c>
      <c r="I185" s="56">
        <f t="shared" si="7"/>
        <v>213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5"/>
      <c r="AW185" s="45"/>
    </row>
    <row r="186" spans="1:49" s="23" customFormat="1" ht="13.5" thickBot="1">
      <c r="A186" s="72"/>
      <c r="B186" s="72"/>
      <c r="C186" s="70" t="s">
        <v>291</v>
      </c>
      <c r="D186" s="71">
        <v>1.6666999999999999E-3</v>
      </c>
      <c r="E186" s="71">
        <v>1.6870000000000001E-4</v>
      </c>
      <c r="F186" s="71">
        <v>-1.3E-6</v>
      </c>
      <c r="G186" s="71" t="s">
        <v>268</v>
      </c>
      <c r="H186" s="71" t="s">
        <v>268</v>
      </c>
      <c r="I186" s="56">
        <f t="shared" si="7"/>
        <v>214</v>
      </c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5"/>
      <c r="AW186" s="45"/>
    </row>
    <row r="187" spans="1:49" s="23" customFormat="1" ht="13.5" thickBot="1">
      <c r="A187" s="72"/>
      <c r="B187" s="75"/>
      <c r="C187" s="70" t="s">
        <v>292</v>
      </c>
      <c r="D187" s="71">
        <v>1.4748999999999999E-3</v>
      </c>
      <c r="E187" s="71">
        <v>1.6420000000000001E-4</v>
      </c>
      <c r="F187" s="71">
        <v>-1.3E-6</v>
      </c>
      <c r="G187" s="71" t="s">
        <v>268</v>
      </c>
      <c r="H187" s="71" t="s">
        <v>268</v>
      </c>
      <c r="I187" s="56">
        <f t="shared" si="7"/>
        <v>215</v>
      </c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5"/>
      <c r="AW187" s="45"/>
    </row>
    <row r="188" spans="1:49" s="23" customFormat="1" ht="13.5" thickBot="1">
      <c r="A188" s="72"/>
      <c r="B188" s="68" t="s">
        <v>274</v>
      </c>
      <c r="C188" s="70" t="s">
        <v>267</v>
      </c>
      <c r="D188" s="71">
        <v>666.98917859999995</v>
      </c>
      <c r="E188" s="71">
        <v>5.1050999999999999E-2</v>
      </c>
      <c r="F188" s="71">
        <v>5141.6705848000001</v>
      </c>
      <c r="G188" s="71">
        <v>0.55697470000000004</v>
      </c>
      <c r="H188" s="71">
        <v>230.8985457</v>
      </c>
      <c r="I188" s="56">
        <f t="shared" si="7"/>
        <v>216</v>
      </c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5"/>
      <c r="AW188" s="45"/>
    </row>
    <row r="189" spans="1:49" s="23" customFormat="1" ht="13.5" thickBot="1">
      <c r="A189" s="72"/>
      <c r="B189" s="72"/>
      <c r="C189" s="70" t="s">
        <v>269</v>
      </c>
      <c r="D189" s="71">
        <v>523.53582070000004</v>
      </c>
      <c r="E189" s="71">
        <v>4.9423099999999998E-2</v>
      </c>
      <c r="F189" s="71">
        <v>17421.479604200002</v>
      </c>
      <c r="G189" s="71">
        <v>0.80990720000000005</v>
      </c>
      <c r="H189" s="71">
        <v>201.80527029999999</v>
      </c>
      <c r="I189" s="56">
        <f t="shared" si="7"/>
        <v>217</v>
      </c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5"/>
      <c r="AW189" s="45"/>
    </row>
    <row r="190" spans="1:49" s="23" customFormat="1" ht="13.5" thickBot="1">
      <c r="A190" s="72"/>
      <c r="B190" s="72"/>
      <c r="C190" s="70" t="s">
        <v>291</v>
      </c>
      <c r="D190" s="71">
        <v>464.24392669999997</v>
      </c>
      <c r="E190" s="71">
        <v>4.7173899999999998E-2</v>
      </c>
      <c r="F190" s="71">
        <v>22777.723978999999</v>
      </c>
      <c r="G190" s="71">
        <v>0.884185</v>
      </c>
      <c r="H190" s="71">
        <v>195.47615569999999</v>
      </c>
      <c r="I190" s="56">
        <f t="shared" si="7"/>
        <v>218</v>
      </c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5"/>
      <c r="AW190" s="45"/>
    </row>
    <row r="191" spans="1:49" s="23" customFormat="1" ht="13.5" thickBot="1">
      <c r="A191" s="75"/>
      <c r="B191" s="75"/>
      <c r="C191" s="70" t="s">
        <v>292</v>
      </c>
      <c r="D191" s="71">
        <v>496.03792479999998</v>
      </c>
      <c r="E191" s="71">
        <v>4.6618300000000001E-2</v>
      </c>
      <c r="F191" s="71">
        <v>3798.3107636999998</v>
      </c>
      <c r="G191" s="71">
        <v>0.57371550000000004</v>
      </c>
      <c r="H191" s="71">
        <v>199.1012968</v>
      </c>
      <c r="I191" s="56">
        <f t="shared" si="7"/>
        <v>219</v>
      </c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5"/>
      <c r="AW191" s="45"/>
    </row>
    <row r="192" spans="1:49" s="23" customFormat="1" ht="13.5" thickBot="1">
      <c r="A192" s="68" t="s">
        <v>276</v>
      </c>
      <c r="B192" s="68" t="s">
        <v>278</v>
      </c>
      <c r="C192" s="70" t="s">
        <v>297</v>
      </c>
      <c r="D192" s="71">
        <v>812.92797199999995</v>
      </c>
      <c r="E192" s="71">
        <v>6.7824300000000004E-2</v>
      </c>
      <c r="F192" s="71">
        <v>156466.26815799999</v>
      </c>
      <c r="G192" s="71">
        <v>1.1465802</v>
      </c>
      <c r="H192" s="71">
        <v>216.44358800000001</v>
      </c>
      <c r="I192" s="23">
        <f t="shared" si="7"/>
        <v>220</v>
      </c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5"/>
      <c r="AW192" s="45"/>
    </row>
    <row r="193" spans="1:49" s="23" customFormat="1" ht="13.5" thickBot="1">
      <c r="A193" s="72"/>
      <c r="B193" s="72"/>
      <c r="C193" s="70" t="s">
        <v>269</v>
      </c>
      <c r="D193" s="71">
        <v>650.87746319999997</v>
      </c>
      <c r="E193" s="71">
        <v>6.75317E-2</v>
      </c>
      <c r="F193" s="71">
        <v>2948894.4640992</v>
      </c>
      <c r="G193" s="71">
        <v>1.7127623000000001</v>
      </c>
      <c r="H193" s="71">
        <v>189.01631330000001</v>
      </c>
      <c r="I193" s="23">
        <f t="shared" si="7"/>
        <v>221</v>
      </c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5"/>
      <c r="AW193" s="45"/>
    </row>
    <row r="194" spans="1:49" s="23" customFormat="1" ht="13.5" thickBot="1">
      <c r="A194" s="72"/>
      <c r="B194" s="72"/>
      <c r="C194" s="70" t="s">
        <v>291</v>
      </c>
      <c r="D194" s="71">
        <v>640.21829769999999</v>
      </c>
      <c r="E194" s="71">
        <v>-7.1263999999999994E-2</v>
      </c>
      <c r="F194" s="71">
        <v>189.9164796</v>
      </c>
      <c r="G194" s="71"/>
      <c r="H194" s="71"/>
      <c r="I194" s="23">
        <f t="shared" si="7"/>
        <v>222</v>
      </c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5"/>
      <c r="AW194" s="45"/>
    </row>
    <row r="195" spans="1:49" s="23" customFormat="1" ht="13.5" thickBot="1">
      <c r="A195" s="72"/>
      <c r="B195" s="75"/>
      <c r="C195" s="70" t="s">
        <v>292</v>
      </c>
      <c r="D195" s="71">
        <v>617.44660610000005</v>
      </c>
      <c r="E195" s="71">
        <v>6.5915199999999993E-2</v>
      </c>
      <c r="F195" s="71">
        <v>52222212.227616802</v>
      </c>
      <c r="G195" s="71">
        <v>2.2155076999999999</v>
      </c>
      <c r="H195" s="71">
        <v>193.6107701</v>
      </c>
      <c r="I195" s="23">
        <f t="shared" si="7"/>
        <v>223</v>
      </c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5"/>
      <c r="AW195" s="45"/>
    </row>
    <row r="196" spans="1:49" s="23" customFormat="1" ht="13.5" thickBot="1">
      <c r="A196" s="72"/>
      <c r="B196" s="70" t="s">
        <v>298</v>
      </c>
      <c r="C196" s="70" t="s">
        <v>292</v>
      </c>
      <c r="D196" s="71">
        <v>617.44660610000005</v>
      </c>
      <c r="E196" s="71">
        <v>6.5915199999999993E-2</v>
      </c>
      <c r="F196" s="71">
        <v>52222212.227616802</v>
      </c>
      <c r="G196" s="71">
        <v>2.2155076999999999</v>
      </c>
      <c r="H196" s="71">
        <v>193.6107701</v>
      </c>
      <c r="I196" s="23">
        <f t="shared" si="7"/>
        <v>224</v>
      </c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5"/>
      <c r="AW196" s="45"/>
    </row>
    <row r="197" spans="1:49" s="23" customFormat="1" ht="13.5" thickBot="1">
      <c r="A197" s="75"/>
      <c r="B197" s="70" t="s">
        <v>299</v>
      </c>
      <c r="C197" s="70" t="s">
        <v>300</v>
      </c>
      <c r="D197" s="71">
        <v>697.73294420000002</v>
      </c>
      <c r="E197" s="71">
        <v>-6.0592399999999998E-2</v>
      </c>
      <c r="F197" s="71">
        <v>242.1164493</v>
      </c>
      <c r="G197" s="71" t="s">
        <v>268</v>
      </c>
      <c r="H197" s="71" t="s">
        <v>268</v>
      </c>
      <c r="I197" s="23">
        <f t="shared" si="7"/>
        <v>225</v>
      </c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5"/>
      <c r="AW197" s="45"/>
    </row>
    <row r="198" spans="1:49" s="23" customFormat="1" ht="12.75"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5"/>
      <c r="AW198" s="45"/>
    </row>
    <row r="199" spans="1:49" s="23" customFormat="1" ht="12.75"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5"/>
      <c r="AW199" s="45"/>
    </row>
    <row r="200" spans="1:49" s="23" customFormat="1" ht="12.75"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5"/>
      <c r="AW200" s="45"/>
    </row>
    <row r="201" spans="1:49" s="23" customFormat="1" ht="12.75">
      <c r="A201" s="77"/>
      <c r="B201" s="77"/>
      <c r="C201" s="77"/>
      <c r="D201" s="77"/>
      <c r="E201" s="77"/>
      <c r="F201" s="77"/>
      <c r="G201" s="77"/>
      <c r="H201" s="77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5"/>
      <c r="AW201" s="45"/>
    </row>
    <row r="202" spans="1:49">
      <c r="A202" s="18" t="s">
        <v>301</v>
      </c>
      <c r="B202" s="18" t="s">
        <v>24</v>
      </c>
      <c r="C202" s="18" t="s">
        <v>261</v>
      </c>
      <c r="D202" s="18" t="s">
        <v>262</v>
      </c>
      <c r="E202" s="18" t="s">
        <v>263</v>
      </c>
      <c r="F202" s="18" t="s">
        <v>264</v>
      </c>
      <c r="G202" s="18" t="s">
        <v>265</v>
      </c>
      <c r="H202" s="77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5"/>
      <c r="AW202" s="45"/>
    </row>
    <row r="203" spans="1:49">
      <c r="A203" s="78" t="s">
        <v>25</v>
      </c>
      <c r="B203" s="18" t="s">
        <v>302</v>
      </c>
      <c r="C203" s="79">
        <v>11.2</v>
      </c>
      <c r="D203" s="79">
        <v>0.129</v>
      </c>
      <c r="E203" s="79">
        <v>-0.10199999999999999</v>
      </c>
      <c r="F203" s="79">
        <v>-9.4700000000000003E-4</v>
      </c>
      <c r="G203" s="79">
        <v>6.7699999999999998E-4</v>
      </c>
      <c r="H203" s="80">
        <v>373</v>
      </c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5"/>
      <c r="AW203" s="45"/>
    </row>
    <row r="204" spans="1:49">
      <c r="A204" s="81"/>
      <c r="B204" s="18" t="s">
        <v>303</v>
      </c>
      <c r="C204" s="79">
        <v>71.7</v>
      </c>
      <c r="D204" s="79">
        <v>35.4</v>
      </c>
      <c r="E204" s="79">
        <v>11.4</v>
      </c>
      <c r="F204" s="79">
        <v>-0.248</v>
      </c>
      <c r="G204" s="82"/>
      <c r="H204" s="80">
        <f>+H203+1</f>
        <v>374</v>
      </c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5"/>
      <c r="AW204" s="45"/>
    </row>
    <row r="205" spans="1:49">
      <c r="A205" s="78" t="s">
        <v>26</v>
      </c>
      <c r="B205" s="18" t="s">
        <v>302</v>
      </c>
      <c r="C205" s="79">
        <v>1.35</v>
      </c>
      <c r="D205" s="79">
        <v>0.17799999999999999</v>
      </c>
      <c r="E205" s="79">
        <v>-6.77E-3</v>
      </c>
      <c r="F205" s="79">
        <v>-1.2700000000000001E-3</v>
      </c>
      <c r="G205" s="82"/>
      <c r="H205" s="80">
        <f>+H204+1</f>
        <v>375</v>
      </c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5"/>
      <c r="AW205" s="45"/>
    </row>
    <row r="206" spans="1:49">
      <c r="A206" s="81"/>
      <c r="B206" s="18" t="s">
        <v>303</v>
      </c>
      <c r="C206" s="79">
        <v>5.57E-2</v>
      </c>
      <c r="D206" s="79">
        <v>3.6499999999999998E-2</v>
      </c>
      <c r="E206" s="79">
        <v>-1.1000000000000001E-3</v>
      </c>
      <c r="F206" s="79">
        <v>-1.8799999999999999E-4</v>
      </c>
      <c r="G206" s="79">
        <v>1.2500000000000001E-5</v>
      </c>
      <c r="H206" s="80">
        <f>+H205+1</f>
        <v>376</v>
      </c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5"/>
      <c r="AW206" s="45"/>
    </row>
    <row r="207" spans="1:49">
      <c r="A207" s="78" t="s">
        <v>27</v>
      </c>
      <c r="B207" s="18" t="s">
        <v>302</v>
      </c>
      <c r="C207" s="79">
        <v>0.52500000000000002</v>
      </c>
      <c r="D207" s="82"/>
      <c r="E207" s="79">
        <v>-0.01</v>
      </c>
      <c r="F207" s="82"/>
      <c r="G207" s="79">
        <v>9.3599999999999998E-5</v>
      </c>
      <c r="H207" s="80">
        <f>+H206+1</f>
        <v>377</v>
      </c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5"/>
      <c r="AW207" s="45"/>
    </row>
    <row r="208" spans="1:49">
      <c r="A208" s="81"/>
      <c r="B208" s="18" t="s">
        <v>303</v>
      </c>
      <c r="C208" s="79">
        <v>9.2899999999999996E-2</v>
      </c>
      <c r="D208" s="79">
        <v>-1.2200000000000001E-2</v>
      </c>
      <c r="E208" s="79">
        <v>-1.49E-3</v>
      </c>
      <c r="F208" s="79">
        <v>3.9700000000000003E-5</v>
      </c>
      <c r="G208" s="79">
        <v>6.5300000000000002E-6</v>
      </c>
      <c r="H208" s="80">
        <f>+H207+1</f>
        <v>378</v>
      </c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5"/>
      <c r="AW208" s="45"/>
    </row>
    <row r="209" spans="1:49">
      <c r="A209" s="77"/>
      <c r="B209" s="77"/>
      <c r="C209" s="77"/>
      <c r="D209" s="77"/>
      <c r="E209" s="77"/>
      <c r="F209" s="77"/>
      <c r="G209" s="77"/>
      <c r="H209" s="77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5"/>
      <c r="AW209" s="45"/>
    </row>
    <row r="210" spans="1:49">
      <c r="A210" s="77"/>
      <c r="B210" s="77"/>
      <c r="C210" s="77"/>
      <c r="D210" s="77"/>
      <c r="E210" s="77"/>
      <c r="F210" s="77"/>
      <c r="G210" s="77"/>
      <c r="H210" s="77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5"/>
      <c r="AW210" s="45"/>
    </row>
    <row r="211" spans="1:49">
      <c r="A211" s="83" t="s">
        <v>304</v>
      </c>
      <c r="B211" s="83" t="s">
        <v>24</v>
      </c>
      <c r="C211" s="83" t="s">
        <v>261</v>
      </c>
      <c r="D211" s="83" t="s">
        <v>262</v>
      </c>
      <c r="E211" s="83" t="s">
        <v>263</v>
      </c>
      <c r="F211" s="83" t="s">
        <v>264</v>
      </c>
      <c r="G211" s="83" t="s">
        <v>265</v>
      </c>
      <c r="H211" s="83" t="s">
        <v>305</v>
      </c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5"/>
      <c r="AW211" s="45"/>
    </row>
    <row r="212" spans="1:49">
      <c r="A212" s="84" t="s">
        <v>25</v>
      </c>
      <c r="B212" s="83" t="s">
        <v>302</v>
      </c>
      <c r="C212" s="79">
        <v>0.996</v>
      </c>
      <c r="D212" s="82"/>
      <c r="E212" s="79">
        <v>-1.8800000000000001E-2</v>
      </c>
      <c r="F212" s="82"/>
      <c r="G212" s="79">
        <v>1.0900000000000001E-4</v>
      </c>
      <c r="H212" s="82"/>
      <c r="I212" s="80">
        <v>382</v>
      </c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5"/>
      <c r="AW212" s="45"/>
    </row>
    <row r="213" spans="1:49">
      <c r="A213" s="85"/>
      <c r="B213" s="83" t="s">
        <v>303</v>
      </c>
      <c r="C213" s="79">
        <v>0.16900000000000001</v>
      </c>
      <c r="D213" s="82"/>
      <c r="E213" s="79">
        <v>-2.9199999999999999E-3</v>
      </c>
      <c r="F213" s="82"/>
      <c r="G213" s="79">
        <v>1.2500000000000001E-5</v>
      </c>
      <c r="H213" s="82">
        <v>1.1000000000000001</v>
      </c>
      <c r="I213" s="80">
        <f>+I212+1</f>
        <v>383</v>
      </c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5"/>
      <c r="AW213" s="45"/>
    </row>
    <row r="214" spans="1:49" ht="12.75" customHeight="1">
      <c r="A214" s="86"/>
      <c r="B214" s="83" t="s">
        <v>306</v>
      </c>
      <c r="C214" s="87" t="s">
        <v>110</v>
      </c>
      <c r="D214" s="88"/>
      <c r="E214" s="88"/>
      <c r="F214" s="88"/>
      <c r="G214" s="88"/>
      <c r="H214" s="89"/>
      <c r="I214" s="77">
        <f t="shared" ref="I214:I220" si="8">+I213+1</f>
        <v>384</v>
      </c>
      <c r="J214" s="4" t="s">
        <v>307</v>
      </c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5"/>
      <c r="AW214" s="45"/>
    </row>
    <row r="215" spans="1:49">
      <c r="A215" s="84" t="s">
        <v>26</v>
      </c>
      <c r="B215" s="83" t="s">
        <v>302</v>
      </c>
      <c r="C215" s="79">
        <v>0.14199999999999999</v>
      </c>
      <c r="D215" s="79">
        <v>1.38E-2</v>
      </c>
      <c r="E215" s="79">
        <v>-2.0100000000000001E-3</v>
      </c>
      <c r="F215" s="79">
        <v>-1.9000000000000001E-5</v>
      </c>
      <c r="G215" s="79">
        <v>1.15E-5</v>
      </c>
      <c r="H215" s="82"/>
      <c r="I215" s="80">
        <f t="shared" si="8"/>
        <v>385</v>
      </c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5"/>
      <c r="AW215" s="45"/>
    </row>
    <row r="216" spans="1:49">
      <c r="A216" s="85"/>
      <c r="B216" s="83" t="s">
        <v>303</v>
      </c>
      <c r="C216" s="79">
        <v>9.6500000000000002E-2</v>
      </c>
      <c r="D216" s="79">
        <v>0.10299999999999999</v>
      </c>
      <c r="E216" s="79">
        <v>-2.3800000000000001E-4</v>
      </c>
      <c r="F216" s="79">
        <v>-7.2399999999999998E-5</v>
      </c>
      <c r="G216" s="79">
        <v>1.9300000000000002E-6</v>
      </c>
      <c r="H216" s="82"/>
      <c r="I216" s="80">
        <f t="shared" si="8"/>
        <v>386</v>
      </c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5"/>
      <c r="AW216" s="45"/>
    </row>
    <row r="217" spans="1:49">
      <c r="A217" s="86"/>
      <c r="B217" s="83" t="s">
        <v>306</v>
      </c>
      <c r="C217" s="79">
        <v>3.4700000000000002E-2</v>
      </c>
      <c r="D217" s="79">
        <v>2.69E-2</v>
      </c>
      <c r="E217" s="79">
        <v>-6.4099999999999997E-4</v>
      </c>
      <c r="F217" s="79">
        <v>1.5900000000000001E-3</v>
      </c>
      <c r="G217" s="79">
        <v>1.1199999999999999E-5</v>
      </c>
      <c r="H217" s="82"/>
      <c r="I217" s="80">
        <f t="shared" si="8"/>
        <v>387</v>
      </c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5"/>
      <c r="AW217" s="45"/>
    </row>
    <row r="218" spans="1:49">
      <c r="A218" s="84" t="s">
        <v>27</v>
      </c>
      <c r="B218" s="83" t="s">
        <v>302</v>
      </c>
      <c r="C218" s="79">
        <v>3.1</v>
      </c>
      <c r="D218" s="79">
        <v>0.14099999999999999</v>
      </c>
      <c r="E218" s="79">
        <v>-6.1799999999999997E-3</v>
      </c>
      <c r="F218" s="79">
        <v>-5.0299999999999997E-4</v>
      </c>
      <c r="G218" s="79">
        <v>4.2200000000000001E-4</v>
      </c>
      <c r="H218" s="82"/>
      <c r="I218" s="80">
        <f t="shared" si="8"/>
        <v>388</v>
      </c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5"/>
      <c r="AW218" s="45"/>
    </row>
    <row r="219" spans="1:49">
      <c r="A219" s="85"/>
      <c r="B219" s="83" t="s">
        <v>303</v>
      </c>
      <c r="C219" s="79">
        <v>2.82</v>
      </c>
      <c r="D219" s="79">
        <v>0.19800000000000001</v>
      </c>
      <c r="E219" s="79">
        <v>6.6900000000000001E-2</v>
      </c>
      <c r="F219" s="79">
        <v>-1.4300000000000001E-3</v>
      </c>
      <c r="G219" s="79">
        <v>-4.6299999999999998E-4</v>
      </c>
      <c r="H219" s="82"/>
      <c r="I219" s="80">
        <f t="shared" si="8"/>
        <v>389</v>
      </c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5"/>
      <c r="AW219" s="45"/>
    </row>
    <row r="220" spans="1:49">
      <c r="A220" s="86"/>
      <c r="B220" s="83" t="s">
        <v>306</v>
      </c>
      <c r="C220" s="79">
        <v>1.1100000000000001</v>
      </c>
      <c r="D220" s="82"/>
      <c r="E220" s="79">
        <v>-2.0199999999999999E-2</v>
      </c>
      <c r="F220" s="82"/>
      <c r="G220" s="79">
        <v>1.4799999999999999E-4</v>
      </c>
      <c r="H220" s="82"/>
      <c r="I220" s="80">
        <f t="shared" si="8"/>
        <v>390</v>
      </c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5"/>
      <c r="AW220" s="45"/>
    </row>
    <row r="221" spans="1:49">
      <c r="A221" s="84" t="s">
        <v>36</v>
      </c>
      <c r="B221" s="83" t="s">
        <v>302</v>
      </c>
      <c r="C221" s="79">
        <v>0.114</v>
      </c>
      <c r="D221" s="82"/>
      <c r="E221" s="79">
        <v>-2.33E-3</v>
      </c>
      <c r="F221" s="82"/>
      <c r="G221" s="79">
        <v>2.26E-5</v>
      </c>
      <c r="H221" s="82"/>
      <c r="I221" s="80">
        <f>+I220+1</f>
        <v>391</v>
      </c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5"/>
      <c r="AW221" s="45"/>
    </row>
    <row r="222" spans="1:49">
      <c r="A222" s="85"/>
      <c r="B222" s="83" t="s">
        <v>303</v>
      </c>
      <c r="C222" s="79">
        <v>5.1499999999999997E-2</v>
      </c>
      <c r="D222" s="79"/>
      <c r="E222" s="79">
        <v>-8.8000000000000003E-4</v>
      </c>
      <c r="F222" s="79"/>
      <c r="G222" s="79">
        <v>8.1200000000000002E-6</v>
      </c>
      <c r="H222" s="82"/>
      <c r="I222" s="80">
        <f>+I221+1</f>
        <v>392</v>
      </c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5"/>
      <c r="AW222" s="45"/>
    </row>
    <row r="223" spans="1:49">
      <c r="A223" s="86"/>
      <c r="B223" s="83" t="s">
        <v>306</v>
      </c>
      <c r="C223" s="79">
        <v>4.4999999999999998E-2</v>
      </c>
      <c r="D223" s="82"/>
      <c r="E223" s="79">
        <v>-5.3899999999999998E-4</v>
      </c>
      <c r="F223" s="82"/>
      <c r="G223" s="79">
        <v>3.4800000000000001E-6</v>
      </c>
      <c r="H223" s="82"/>
      <c r="I223" s="80">
        <f>+I222+1</f>
        <v>393</v>
      </c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5"/>
      <c r="AW223" s="45"/>
    </row>
    <row r="224" spans="1:49"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5"/>
      <c r="AW224" s="45"/>
    </row>
    <row r="225" spans="1:58"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5"/>
      <c r="AW225" s="45"/>
    </row>
    <row r="226" spans="1:58" s="90" customFormat="1">
      <c r="A226" s="91"/>
      <c r="B226" s="91" t="s">
        <v>308</v>
      </c>
      <c r="C226" s="91" t="s">
        <v>309</v>
      </c>
      <c r="D226" s="91" t="s">
        <v>310</v>
      </c>
      <c r="E226" s="91" t="s">
        <v>261</v>
      </c>
      <c r="F226" s="91" t="s">
        <v>262</v>
      </c>
      <c r="G226" s="91" t="s">
        <v>263</v>
      </c>
      <c r="H226" s="91" t="s">
        <v>264</v>
      </c>
      <c r="I226" s="91" t="s">
        <v>265</v>
      </c>
      <c r="J226" s="91" t="s">
        <v>311</v>
      </c>
      <c r="K226" s="91" t="s">
        <v>312</v>
      </c>
      <c r="U226" s="92"/>
      <c r="V226" s="92"/>
      <c r="W226" s="92"/>
      <c r="X226" s="92"/>
      <c r="Y226" s="92"/>
      <c r="Z226" s="92"/>
      <c r="AA226" s="92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</row>
    <row r="227" spans="1:58" s="90" customFormat="1">
      <c r="B227" s="93" t="s">
        <v>313</v>
      </c>
      <c r="C227" s="93" t="s">
        <v>25</v>
      </c>
      <c r="D227" s="93" t="s">
        <v>314</v>
      </c>
      <c r="E227" s="93">
        <v>5.9027676921307892E-2</v>
      </c>
      <c r="F227" s="93">
        <v>1.2379456516839698E-2</v>
      </c>
      <c r="G227" s="93" t="s">
        <v>315</v>
      </c>
      <c r="H227" s="93" t="s">
        <v>315</v>
      </c>
      <c r="I227" s="93" t="s">
        <v>315</v>
      </c>
      <c r="J227" s="93">
        <v>6</v>
      </c>
      <c r="K227" s="93">
        <v>75</v>
      </c>
      <c r="L227" s="93">
        <v>397</v>
      </c>
      <c r="U227" s="92"/>
      <c r="V227" s="92"/>
      <c r="W227" s="92"/>
      <c r="X227" s="92"/>
      <c r="Y227" s="92"/>
      <c r="Z227" s="92"/>
      <c r="AA227" s="92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</row>
    <row r="228" spans="1:58" s="90" customFormat="1">
      <c r="B228" s="93" t="s">
        <v>313</v>
      </c>
      <c r="C228" s="93" t="s">
        <v>316</v>
      </c>
      <c r="D228" s="93" t="s">
        <v>317</v>
      </c>
      <c r="E228" s="93">
        <v>1.9755622763974641</v>
      </c>
      <c r="F228" s="93">
        <v>5.2456399614831714E-2</v>
      </c>
      <c r="G228" s="93">
        <v>12.45092328519547</v>
      </c>
      <c r="H228" s="93">
        <v>0.44175337992904412</v>
      </c>
      <c r="I228" s="93">
        <v>0.34433928228100702</v>
      </c>
      <c r="J228" s="93">
        <v>6</v>
      </c>
      <c r="K228" s="93">
        <v>75</v>
      </c>
      <c r="L228" s="93">
        <f>+L227+1</f>
        <v>398</v>
      </c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</row>
    <row r="229" spans="1:58" s="90" customFormat="1">
      <c r="B229" s="93" t="s">
        <v>313</v>
      </c>
      <c r="C229" s="93" t="s">
        <v>28</v>
      </c>
      <c r="D229" s="93" t="s">
        <v>318</v>
      </c>
      <c r="E229" s="93">
        <v>31.90730408423158</v>
      </c>
      <c r="F229" s="93">
        <v>-2.1648519752604373E-2</v>
      </c>
      <c r="G229" s="93">
        <v>-2.1338549496891623</v>
      </c>
      <c r="H229" s="93">
        <v>8.8303287735171349E-2</v>
      </c>
      <c r="I229" s="93" t="s">
        <v>315</v>
      </c>
      <c r="J229" s="93">
        <v>6</v>
      </c>
      <c r="K229" s="93">
        <v>75</v>
      </c>
      <c r="L229" s="93">
        <f t="shared" ref="L229:L250" si="9">+L228+1</f>
        <v>399</v>
      </c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</row>
    <row r="230" spans="1:58" s="90" customFormat="1">
      <c r="B230" s="93" t="s">
        <v>313</v>
      </c>
      <c r="C230" s="93" t="s">
        <v>319</v>
      </c>
      <c r="D230" s="93" t="s">
        <v>233</v>
      </c>
      <c r="E230" s="93">
        <v>0.41171300020532586</v>
      </c>
      <c r="F230" s="93">
        <v>7.072555084624231E-2</v>
      </c>
      <c r="G230" s="93">
        <v>-1.4518200734837567E-4</v>
      </c>
      <c r="H230" s="93" t="s">
        <v>315</v>
      </c>
      <c r="I230" s="93" t="s">
        <v>315</v>
      </c>
      <c r="J230" s="93">
        <v>6</v>
      </c>
      <c r="K230" s="93">
        <v>75</v>
      </c>
      <c r="L230" s="93">
        <f t="shared" si="9"/>
        <v>400</v>
      </c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</row>
    <row r="231" spans="1:58" s="90" customFormat="1">
      <c r="B231" s="93" t="s">
        <v>320</v>
      </c>
      <c r="C231" s="93" t="s">
        <v>25</v>
      </c>
      <c r="D231" s="93" t="s">
        <v>318</v>
      </c>
      <c r="E231" s="93">
        <v>11.895525687134212</v>
      </c>
      <c r="F231" s="93">
        <v>-1.5940585925798213E-2</v>
      </c>
      <c r="G231" s="93">
        <v>-1.0047900656686117</v>
      </c>
      <c r="H231" s="93">
        <v>0.10033533646676268</v>
      </c>
      <c r="I231" s="93" t="s">
        <v>315</v>
      </c>
      <c r="J231" s="93">
        <v>6</v>
      </c>
      <c r="K231" s="93">
        <v>75</v>
      </c>
      <c r="L231" s="93">
        <f t="shared" si="9"/>
        <v>401</v>
      </c>
      <c r="U231" s="92"/>
      <c r="V231" s="92"/>
      <c r="W231" s="92"/>
      <c r="X231" s="92"/>
      <c r="Y231" s="92"/>
      <c r="Z231" s="92"/>
      <c r="AA231" s="92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</row>
    <row r="232" spans="1:58" s="90" customFormat="1">
      <c r="B232" s="93" t="s">
        <v>320</v>
      </c>
      <c r="C232" s="93" t="s">
        <v>316</v>
      </c>
      <c r="D232" s="93" t="s">
        <v>317</v>
      </c>
      <c r="E232" s="93">
        <v>1.3940252786067886</v>
      </c>
      <c r="F232" s="93">
        <v>5.6647380413716274E-2</v>
      </c>
      <c r="G232" s="93">
        <v>10.982835215531841</v>
      </c>
      <c r="H232" s="93">
        <v>0.50780320224526343</v>
      </c>
      <c r="I232" s="93">
        <v>0.23579223959888063</v>
      </c>
      <c r="J232" s="93">
        <v>6</v>
      </c>
      <c r="K232" s="93">
        <v>75</v>
      </c>
      <c r="L232" s="93">
        <f t="shared" si="9"/>
        <v>402</v>
      </c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</row>
    <row r="233" spans="1:58" s="90" customFormat="1">
      <c r="B233" s="93" t="s">
        <v>320</v>
      </c>
      <c r="C233" s="93" t="s">
        <v>28</v>
      </c>
      <c r="D233" s="93" t="s">
        <v>321</v>
      </c>
      <c r="E233" s="93">
        <v>6.5372327074057317</v>
      </c>
      <c r="F233" s="93">
        <v>128.918291648142</v>
      </c>
      <c r="G233" s="93">
        <v>-0.74916086931769743</v>
      </c>
      <c r="H233" s="93">
        <v>0.45236244784467572</v>
      </c>
      <c r="I233" s="93">
        <v>4.7071766858143502E-2</v>
      </c>
      <c r="J233" s="93">
        <v>6</v>
      </c>
      <c r="K233" s="93">
        <v>75</v>
      </c>
      <c r="L233" s="93">
        <f t="shared" si="9"/>
        <v>403</v>
      </c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</row>
    <row r="234" spans="1:58" s="90" customFormat="1">
      <c r="B234" s="93" t="s">
        <v>320</v>
      </c>
      <c r="C234" s="93" t="s">
        <v>319</v>
      </c>
      <c r="D234" s="93" t="s">
        <v>322</v>
      </c>
      <c r="E234" s="93">
        <v>0.51738529293696733</v>
      </c>
      <c r="F234" s="93">
        <v>-6.3330834726552529E-2</v>
      </c>
      <c r="G234" s="93">
        <v>0.11405729366285215</v>
      </c>
      <c r="H234" s="93" t="s">
        <v>315</v>
      </c>
      <c r="I234" s="93" t="s">
        <v>315</v>
      </c>
      <c r="J234" s="93">
        <v>6</v>
      </c>
      <c r="K234" s="93">
        <v>75</v>
      </c>
      <c r="L234" s="93">
        <f t="shared" si="9"/>
        <v>404</v>
      </c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</row>
    <row r="235" spans="1:58" s="90" customFormat="1">
      <c r="A235" s="93"/>
      <c r="B235" s="93" t="s">
        <v>323</v>
      </c>
      <c r="C235" s="93" t="s">
        <v>25</v>
      </c>
      <c r="D235" s="93" t="s">
        <v>324</v>
      </c>
      <c r="E235" s="93">
        <v>4.4945923797843523</v>
      </c>
      <c r="F235" s="93">
        <v>-3.8761301630762821</v>
      </c>
      <c r="G235" s="93">
        <v>-1.0428758121008943</v>
      </c>
      <c r="H235" s="93" t="s">
        <v>315</v>
      </c>
      <c r="I235" s="93" t="s">
        <v>315</v>
      </c>
      <c r="J235" s="93">
        <v>6</v>
      </c>
      <c r="K235" s="93">
        <v>75</v>
      </c>
      <c r="L235" s="93">
        <f t="shared" si="9"/>
        <v>405</v>
      </c>
      <c r="U235" s="92"/>
      <c r="V235" s="92"/>
      <c r="W235" s="92"/>
      <c r="X235" s="92"/>
      <c r="Y235" s="92"/>
      <c r="Z235" s="92"/>
      <c r="AA235" s="92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</row>
    <row r="236" spans="1:58" s="90" customFormat="1">
      <c r="A236" s="93"/>
      <c r="B236" s="93" t="s">
        <v>323</v>
      </c>
      <c r="C236" s="93" t="s">
        <v>316</v>
      </c>
      <c r="D236" s="93" t="s">
        <v>317</v>
      </c>
      <c r="E236" s="93">
        <v>1.1801818895165981</v>
      </c>
      <c r="F236" s="93">
        <v>5.3959654622247714E-2</v>
      </c>
      <c r="G236" s="93">
        <v>10.307903143221573</v>
      </c>
      <c r="H236" s="93">
        <v>0.52183677102290982</v>
      </c>
      <c r="I236" s="93">
        <v>0.20355296070717174</v>
      </c>
      <c r="J236" s="93">
        <v>6</v>
      </c>
      <c r="K236" s="93">
        <v>75</v>
      </c>
      <c r="L236" s="93">
        <f t="shared" si="9"/>
        <v>406</v>
      </c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</row>
    <row r="237" spans="1:58" s="90" customFormat="1">
      <c r="A237" s="93"/>
      <c r="B237" s="93" t="s">
        <v>323</v>
      </c>
      <c r="C237" s="93" t="s">
        <v>28</v>
      </c>
      <c r="D237" s="93" t="s">
        <v>321</v>
      </c>
      <c r="E237" s="93">
        <v>3.972044586533408</v>
      </c>
      <c r="F237" s="93">
        <v>93.401147516826313</v>
      </c>
      <c r="G237" s="93">
        <v>1.166370865491404</v>
      </c>
      <c r="H237" s="93">
        <v>1.1397499370219217</v>
      </c>
      <c r="I237" s="93">
        <v>1.1523642196719919E-2</v>
      </c>
      <c r="J237" s="93">
        <v>6</v>
      </c>
      <c r="K237" s="93">
        <v>75</v>
      </c>
      <c r="L237" s="93">
        <f t="shared" si="9"/>
        <v>407</v>
      </c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</row>
    <row r="238" spans="1:58" s="90" customFormat="1">
      <c r="A238" s="93"/>
      <c r="B238" s="93" t="s">
        <v>323</v>
      </c>
      <c r="C238" s="93" t="s">
        <v>319</v>
      </c>
      <c r="D238" s="93" t="s">
        <v>317</v>
      </c>
      <c r="E238" s="93">
        <v>0.4532256676657892</v>
      </c>
      <c r="F238" s="93">
        <v>5.5584252946668869E-2</v>
      </c>
      <c r="G238" s="93">
        <v>1250.7352327846693</v>
      </c>
      <c r="H238" s="93">
        <v>1.7427793817759527</v>
      </c>
      <c r="I238" s="93">
        <v>9.414006783904974E-2</v>
      </c>
      <c r="J238" s="93">
        <v>6</v>
      </c>
      <c r="K238" s="93">
        <v>75</v>
      </c>
      <c r="L238" s="93">
        <f t="shared" si="9"/>
        <v>408</v>
      </c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</row>
    <row r="239" spans="1:58" s="90" customFormat="1">
      <c r="A239" s="93"/>
      <c r="B239" s="56" t="s">
        <v>325</v>
      </c>
      <c r="C239" s="56" t="s">
        <v>25</v>
      </c>
      <c r="D239" s="56" t="s">
        <v>314</v>
      </c>
      <c r="E239" s="56">
        <v>5.6567647888988645E-2</v>
      </c>
      <c r="F239" s="56">
        <v>9.0360612694266509E-3</v>
      </c>
      <c r="G239" s="56" t="s">
        <v>326</v>
      </c>
      <c r="H239" s="56" t="s">
        <v>326</v>
      </c>
      <c r="I239" s="56" t="s">
        <v>326</v>
      </c>
      <c r="J239" s="56">
        <v>6</v>
      </c>
      <c r="K239" s="56">
        <v>75</v>
      </c>
      <c r="L239" s="93">
        <f t="shared" si="9"/>
        <v>409</v>
      </c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</row>
    <row r="240" spans="1:58" s="90" customFormat="1">
      <c r="A240" s="93"/>
      <c r="B240" s="56" t="s">
        <v>325</v>
      </c>
      <c r="C240" s="56" t="s">
        <v>316</v>
      </c>
      <c r="D240" s="56" t="s">
        <v>317</v>
      </c>
      <c r="E240" s="56">
        <v>2.1151305147610033</v>
      </c>
      <c r="F240" s="56">
        <v>5.2692544484041176E-2</v>
      </c>
      <c r="G240" s="56">
        <v>12.513074994579902</v>
      </c>
      <c r="H240" s="56">
        <v>0.42736754813849331</v>
      </c>
      <c r="I240" s="56">
        <v>0.38570309242944983</v>
      </c>
      <c r="J240" s="56">
        <v>6</v>
      </c>
      <c r="K240" s="56">
        <v>75</v>
      </c>
      <c r="L240" s="93">
        <f t="shared" si="9"/>
        <v>410</v>
      </c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</row>
    <row r="241" spans="1:58" s="90" customFormat="1">
      <c r="A241" s="93"/>
      <c r="B241" s="56" t="s">
        <v>325</v>
      </c>
      <c r="C241" s="56" t="s">
        <v>28</v>
      </c>
      <c r="D241" s="56" t="s">
        <v>322</v>
      </c>
      <c r="E241" s="56">
        <v>24.546939458131991</v>
      </c>
      <c r="F241" s="56">
        <v>-6.5927191333880947E-2</v>
      </c>
      <c r="G241" s="56">
        <v>8.215607406492671</v>
      </c>
      <c r="H241" s="56" t="s">
        <v>326</v>
      </c>
      <c r="I241" s="56" t="s">
        <v>326</v>
      </c>
      <c r="J241" s="56">
        <v>6</v>
      </c>
      <c r="K241" s="56">
        <v>75</v>
      </c>
      <c r="L241" s="93">
        <f t="shared" si="9"/>
        <v>411</v>
      </c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</row>
    <row r="242" spans="1:58" s="90" customFormat="1">
      <c r="A242" s="93"/>
      <c r="B242" s="56" t="s">
        <v>325</v>
      </c>
      <c r="C242" s="56" t="s">
        <v>319</v>
      </c>
      <c r="D242" s="56" t="s">
        <v>233</v>
      </c>
      <c r="E242" s="56">
        <v>0.39409152427712874</v>
      </c>
      <c r="F242" s="56">
        <v>5.5409306204649615E-2</v>
      </c>
      <c r="G242" s="56">
        <v>-1.3441224472648196E-4</v>
      </c>
      <c r="H242" s="56" t="s">
        <v>326</v>
      </c>
      <c r="I242" s="56" t="s">
        <v>326</v>
      </c>
      <c r="J242" s="56">
        <v>6</v>
      </c>
      <c r="K242" s="56">
        <v>75</v>
      </c>
      <c r="L242" s="93">
        <f t="shared" si="9"/>
        <v>412</v>
      </c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</row>
    <row r="243" spans="1:58" s="90" customFormat="1">
      <c r="A243" s="93"/>
      <c r="B243" s="56" t="s">
        <v>327</v>
      </c>
      <c r="C243" s="56" t="s">
        <v>25</v>
      </c>
      <c r="D243" s="56" t="s">
        <v>324</v>
      </c>
      <c r="E243" s="56">
        <v>5.0816775651550889</v>
      </c>
      <c r="F243" s="56">
        <v>-4.9713132849853485</v>
      </c>
      <c r="G243" s="56">
        <v>-1.1438635081631556</v>
      </c>
      <c r="H243" s="56" t="s">
        <v>326</v>
      </c>
      <c r="I243" s="56" t="s">
        <v>326</v>
      </c>
      <c r="J243" s="56">
        <v>6</v>
      </c>
      <c r="K243" s="56">
        <v>75</v>
      </c>
      <c r="L243" s="93">
        <f t="shared" si="9"/>
        <v>413</v>
      </c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</row>
    <row r="244" spans="1:58" s="90" customFormat="1">
      <c r="A244" s="93"/>
      <c r="B244" s="56" t="s">
        <v>327</v>
      </c>
      <c r="C244" s="56" t="s">
        <v>316</v>
      </c>
      <c r="D244" s="56" t="s">
        <v>317</v>
      </c>
      <c r="E244" s="56">
        <v>1.4865099928089367</v>
      </c>
      <c r="F244" s="56">
        <v>5.6334611264686744E-2</v>
      </c>
      <c r="G244" s="56">
        <v>11.218697172031593</v>
      </c>
      <c r="H244" s="56">
        <v>0.49308246886092255</v>
      </c>
      <c r="I244" s="56">
        <v>0.25789315527041407</v>
      </c>
      <c r="J244" s="56">
        <v>6</v>
      </c>
      <c r="K244" s="56">
        <v>75</v>
      </c>
      <c r="L244" s="93">
        <f t="shared" si="9"/>
        <v>414</v>
      </c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</row>
    <row r="245" spans="1:58" s="90" customFormat="1">
      <c r="A245" s="93"/>
      <c r="B245" s="56" t="s">
        <v>327</v>
      </c>
      <c r="C245" s="56" t="s">
        <v>28</v>
      </c>
      <c r="D245" s="56" t="s">
        <v>318</v>
      </c>
      <c r="E245" s="56">
        <v>37.658479235219517</v>
      </c>
      <c r="F245" s="56">
        <v>-3.893936859043616E-2</v>
      </c>
      <c r="G245" s="56">
        <v>-2.2393911860314231</v>
      </c>
      <c r="H245" s="56">
        <v>8.2513721601479281E-2</v>
      </c>
      <c r="I245" s="56" t="s">
        <v>326</v>
      </c>
      <c r="J245" s="56">
        <v>6</v>
      </c>
      <c r="K245" s="56">
        <v>75</v>
      </c>
      <c r="L245" s="93">
        <f t="shared" si="9"/>
        <v>415</v>
      </c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</row>
    <row r="246" spans="1:58" s="90" customFormat="1">
      <c r="A246" s="93"/>
      <c r="B246" s="56" t="s">
        <v>327</v>
      </c>
      <c r="C246" s="56" t="s">
        <v>319</v>
      </c>
      <c r="D246" s="56" t="s">
        <v>322</v>
      </c>
      <c r="E246" s="56">
        <v>0.61766131446003436</v>
      </c>
      <c r="F246" s="56">
        <v>-5.4927107179328978E-2</v>
      </c>
      <c r="G246" s="56">
        <v>0.13868853981764448</v>
      </c>
      <c r="H246" s="56" t="s">
        <v>326</v>
      </c>
      <c r="I246" s="56" t="s">
        <v>326</v>
      </c>
      <c r="J246" s="56">
        <v>6</v>
      </c>
      <c r="K246" s="56">
        <v>75</v>
      </c>
      <c r="L246" s="93">
        <f t="shared" si="9"/>
        <v>416</v>
      </c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</row>
    <row r="247" spans="1:58" s="90" customFormat="1">
      <c r="A247" s="93"/>
      <c r="B247" s="93" t="s">
        <v>328</v>
      </c>
      <c r="C247" s="93" t="s">
        <v>25</v>
      </c>
      <c r="D247" s="93" t="s">
        <v>324</v>
      </c>
      <c r="E247" s="93">
        <v>5.0420582972571291</v>
      </c>
      <c r="F247" s="93">
        <v>-5.1621004813713371</v>
      </c>
      <c r="G247" s="93">
        <v>-1.1168053951598016</v>
      </c>
      <c r="H247" s="93" t="s">
        <v>315</v>
      </c>
      <c r="I247" s="93" t="s">
        <v>315</v>
      </c>
      <c r="J247" s="93">
        <v>6</v>
      </c>
      <c r="K247" s="93">
        <v>75</v>
      </c>
      <c r="L247" s="93">
        <f t="shared" si="9"/>
        <v>417</v>
      </c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</row>
    <row r="248" spans="1:58" s="90" customFormat="1">
      <c r="A248" s="93"/>
      <c r="B248" s="93" t="s">
        <v>328</v>
      </c>
      <c r="C248" s="93" t="s">
        <v>316</v>
      </c>
      <c r="D248" s="93" t="s">
        <v>317</v>
      </c>
      <c r="E248" s="93">
        <v>1.2586776230627963</v>
      </c>
      <c r="F248" s="93">
        <v>5.4057169591028978E-2</v>
      </c>
      <c r="G248" s="93">
        <v>10.273758692469203</v>
      </c>
      <c r="H248" s="93">
        <v>0.50138934355665354</v>
      </c>
      <c r="I248" s="93">
        <v>0.21916519605559218</v>
      </c>
      <c r="J248" s="93">
        <v>6</v>
      </c>
      <c r="K248" s="93">
        <v>75</v>
      </c>
      <c r="L248" s="93">
        <f t="shared" si="9"/>
        <v>418</v>
      </c>
      <c r="U248" s="92"/>
      <c r="V248" s="92"/>
      <c r="W248" s="92"/>
      <c r="X248" s="92"/>
      <c r="Y248" s="92"/>
      <c r="Z248" s="92"/>
      <c r="AA248" s="92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</row>
    <row r="249" spans="1:58" s="90" customFormat="1">
      <c r="A249" s="93"/>
      <c r="B249" s="93" t="s">
        <v>328</v>
      </c>
      <c r="C249" s="93" t="s">
        <v>28</v>
      </c>
      <c r="D249" s="93" t="s">
        <v>318</v>
      </c>
      <c r="E249" s="93">
        <v>58.703453670668516</v>
      </c>
      <c r="F249" s="93">
        <v>-7.2700858592740308E-2</v>
      </c>
      <c r="G249" s="93">
        <v>-5.8909874925174304</v>
      </c>
      <c r="H249" s="93">
        <v>0.12226796727887258</v>
      </c>
      <c r="I249" s="93" t="s">
        <v>315</v>
      </c>
      <c r="J249" s="93">
        <v>6</v>
      </c>
      <c r="K249" s="93">
        <v>75</v>
      </c>
      <c r="L249" s="93">
        <f t="shared" si="9"/>
        <v>419</v>
      </c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</row>
    <row r="250" spans="1:58" s="90" customFormat="1">
      <c r="A250" s="93"/>
      <c r="B250" s="93" t="s">
        <v>328</v>
      </c>
      <c r="C250" s="93" t="s">
        <v>319</v>
      </c>
      <c r="D250" s="93" t="s">
        <v>322</v>
      </c>
      <c r="E250" s="93">
        <v>0.53601204864653462</v>
      </c>
      <c r="F250" s="93">
        <v>-5.6185528883417268E-2</v>
      </c>
      <c r="G250" s="93">
        <v>0.11219272974692829</v>
      </c>
      <c r="H250" s="93" t="s">
        <v>315</v>
      </c>
      <c r="I250" s="93" t="s">
        <v>315</v>
      </c>
      <c r="J250" s="93">
        <v>6</v>
      </c>
      <c r="K250" s="93">
        <v>75</v>
      </c>
      <c r="L250" s="93">
        <f t="shared" si="9"/>
        <v>420</v>
      </c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</row>
    <row r="251" spans="1:58" ht="30">
      <c r="B251" s="4" t="s">
        <v>329</v>
      </c>
      <c r="C251" s="4" t="s">
        <v>330</v>
      </c>
      <c r="D251" s="4" t="s">
        <v>176</v>
      </c>
      <c r="E251" s="4">
        <v>812.92797198944299</v>
      </c>
      <c r="F251" s="4">
        <v>6.7824287309969158E-2</v>
      </c>
      <c r="G251" s="4">
        <v>156466.26815796574</v>
      </c>
      <c r="H251" s="4">
        <v>1.1465801556342929</v>
      </c>
      <c r="I251" s="4">
        <v>216.4435879751706</v>
      </c>
    </row>
    <row r="252" spans="1:58" ht="30">
      <c r="A252" s="56">
        <v>280</v>
      </c>
      <c r="B252" s="4" t="s">
        <v>313</v>
      </c>
      <c r="C252" s="4" t="s">
        <v>330</v>
      </c>
      <c r="D252" s="4" t="s">
        <v>176</v>
      </c>
      <c r="E252" s="90">
        <v>650.8774631937041</v>
      </c>
      <c r="F252" s="90">
        <v>6.7531668757561919E-2</v>
      </c>
      <c r="G252" s="95">
        <v>2948894.4640992004</v>
      </c>
      <c r="H252" s="90">
        <v>1.7127623206601095</v>
      </c>
      <c r="I252" s="90">
        <v>189.01631331314883</v>
      </c>
    </row>
    <row r="253" spans="1:58">
      <c r="A253" s="56">
        <f>+A252+1</f>
        <v>281</v>
      </c>
      <c r="B253" s="4" t="s">
        <v>320</v>
      </c>
      <c r="C253" s="4" t="s">
        <v>330</v>
      </c>
      <c r="D253" s="4" t="s">
        <v>242</v>
      </c>
      <c r="E253" s="90">
        <v>640.21829766101712</v>
      </c>
      <c r="F253" s="90">
        <v>-7.1264045677655097E-2</v>
      </c>
      <c r="G253" s="90">
        <v>189.91647958414262</v>
      </c>
      <c r="H253" s="90"/>
      <c r="I253" s="90"/>
    </row>
    <row r="254" spans="1:58" ht="30">
      <c r="A254" s="56">
        <f t="shared" ref="A254:A262" si="10">+A253+1</f>
        <v>282</v>
      </c>
      <c r="B254" s="4" t="s">
        <v>323</v>
      </c>
      <c r="C254" s="4" t="s">
        <v>330</v>
      </c>
      <c r="D254" s="4" t="s">
        <v>176</v>
      </c>
      <c r="E254" s="90">
        <v>617.44660607113747</v>
      </c>
      <c r="F254" s="90">
        <v>6.5915151501998503E-2</v>
      </c>
      <c r="G254" s="95">
        <v>52222212.227616809</v>
      </c>
      <c r="H254" s="90">
        <v>2.2155076969312471</v>
      </c>
      <c r="I254" s="90">
        <v>193.61077011166955</v>
      </c>
    </row>
    <row r="255" spans="1:58" ht="30">
      <c r="A255" s="4">
        <f t="shared" si="10"/>
        <v>283</v>
      </c>
      <c r="B255" s="4" t="s">
        <v>331</v>
      </c>
      <c r="C255" s="4" t="s">
        <v>330</v>
      </c>
      <c r="D255" s="4" t="s">
        <v>176</v>
      </c>
      <c r="E255" s="4">
        <v>611.19734183156334</v>
      </c>
      <c r="F255" s="4">
        <v>6.7602987498704317E-2</v>
      </c>
      <c r="G255" s="4">
        <v>8033392.9652713146</v>
      </c>
      <c r="H255" s="4">
        <v>1.9003540720374816</v>
      </c>
      <c r="I255" s="4">
        <v>182.66273344699471</v>
      </c>
    </row>
    <row r="256" spans="1:58" ht="30">
      <c r="A256" s="4">
        <f t="shared" si="10"/>
        <v>284</v>
      </c>
      <c r="B256" s="4" t="s">
        <v>332</v>
      </c>
      <c r="C256" s="4" t="s">
        <v>330</v>
      </c>
      <c r="D256" s="4" t="s">
        <v>176</v>
      </c>
      <c r="E256" s="4">
        <v>631.2043535780881</v>
      </c>
      <c r="F256" s="4">
        <v>6.7753714852095234E-2</v>
      </c>
      <c r="G256" s="4">
        <v>5907007.3746681102</v>
      </c>
      <c r="H256" s="4">
        <v>1.8417986168676264</v>
      </c>
      <c r="I256" s="4">
        <v>185.9966604203905</v>
      </c>
    </row>
    <row r="257" spans="1:9" ht="30">
      <c r="A257" s="4">
        <f t="shared" si="10"/>
        <v>285</v>
      </c>
      <c r="B257" s="4" t="s">
        <v>333</v>
      </c>
      <c r="C257" s="4" t="s">
        <v>330</v>
      </c>
      <c r="D257" s="4" t="s">
        <v>176</v>
      </c>
      <c r="E257" s="4">
        <v>897.36031713399359</v>
      </c>
      <c r="F257" s="4">
        <v>6.334198025664356E-2</v>
      </c>
      <c r="G257" s="4">
        <v>2210881.1348609142</v>
      </c>
      <c r="H257" s="4">
        <v>1.5906124186566137</v>
      </c>
      <c r="I257" s="4">
        <v>268.41551510653289</v>
      </c>
    </row>
    <row r="258" spans="1:9">
      <c r="A258" s="56">
        <f t="shared" si="10"/>
        <v>286</v>
      </c>
      <c r="B258" s="4" t="s">
        <v>325</v>
      </c>
      <c r="C258" s="4" t="s">
        <v>330</v>
      </c>
      <c r="D258" s="4" t="s">
        <v>242</v>
      </c>
      <c r="E258" s="4">
        <v>762.51858043774746</v>
      </c>
      <c r="F258" s="4">
        <v>-6.4565538821417037E-2</v>
      </c>
      <c r="G258" s="4">
        <v>240.16344546342211</v>
      </c>
    </row>
    <row r="259" spans="1:9">
      <c r="A259" s="56">
        <f t="shared" si="10"/>
        <v>287</v>
      </c>
      <c r="B259" s="4" t="s">
        <v>327</v>
      </c>
      <c r="C259" s="4" t="s">
        <v>330</v>
      </c>
      <c r="D259" s="4" t="s">
        <v>242</v>
      </c>
      <c r="E259" s="4">
        <v>660.83814360687995</v>
      </c>
      <c r="F259" s="4">
        <v>-5.9886702817712106E-2</v>
      </c>
      <c r="G259" s="4">
        <v>234.61573219258435</v>
      </c>
    </row>
    <row r="260" spans="1:9">
      <c r="A260" s="56">
        <f t="shared" si="10"/>
        <v>288</v>
      </c>
      <c r="B260" s="4" t="s">
        <v>328</v>
      </c>
      <c r="C260" s="4" t="s">
        <v>330</v>
      </c>
      <c r="D260" s="4" t="s">
        <v>242</v>
      </c>
      <c r="E260" s="4">
        <v>697.73294422810079</v>
      </c>
      <c r="F260" s="4">
        <v>-6.0592372724453426E-2</v>
      </c>
      <c r="G260" s="4">
        <v>242.11644925691363</v>
      </c>
    </row>
    <row r="261" spans="1:9">
      <c r="A261" s="4">
        <f t="shared" si="10"/>
        <v>289</v>
      </c>
      <c r="B261" s="4" t="s">
        <v>334</v>
      </c>
      <c r="C261" s="4" t="s">
        <v>330</v>
      </c>
      <c r="D261" s="4" t="s">
        <v>242</v>
      </c>
      <c r="E261" s="4">
        <v>703.74650766344735</v>
      </c>
      <c r="F261" s="4">
        <v>-6.364263526694719E-2</v>
      </c>
      <c r="G261" s="4">
        <v>229.33272882075218</v>
      </c>
    </row>
    <row r="262" spans="1:9">
      <c r="A262" s="4">
        <f t="shared" si="10"/>
        <v>290</v>
      </c>
      <c r="B262" s="4" t="s">
        <v>335</v>
      </c>
      <c r="C262" s="4" t="s">
        <v>330</v>
      </c>
      <c r="D262" s="4" t="s">
        <v>242</v>
      </c>
      <c r="E262" s="4">
        <v>727.76704219122905</v>
      </c>
      <c r="F262" s="4">
        <v>-6.4046520397866694E-2</v>
      </c>
      <c r="G262" s="4">
        <v>233.47035419350971</v>
      </c>
    </row>
    <row r="263" spans="1:9">
      <c r="B263" s="96" t="s">
        <v>336</v>
      </c>
      <c r="C263" s="96" t="s">
        <v>330</v>
      </c>
      <c r="D263" s="97" t="s">
        <v>174</v>
      </c>
      <c r="E263" s="98">
        <v>2.3085572723882831E-3</v>
      </c>
      <c r="F263" s="98">
        <v>2.2762309493391011E-4</v>
      </c>
      <c r="G263" s="99">
        <v>-1.9157278236427332E-6</v>
      </c>
      <c r="H263" s="100"/>
      <c r="I263" s="101"/>
    </row>
    <row r="264" spans="1:9">
      <c r="B264" s="96" t="s">
        <v>337</v>
      </c>
      <c r="C264" s="96" t="s">
        <v>330</v>
      </c>
      <c r="D264" s="96" t="s">
        <v>184</v>
      </c>
      <c r="E264" s="98">
        <v>3.003643132996627E-4</v>
      </c>
      <c r="F264" s="98">
        <v>2.688772453086913</v>
      </c>
      <c r="G264" s="101">
        <v>465.25320013090044</v>
      </c>
      <c r="H264" s="100">
        <v>-0.43986182157334414</v>
      </c>
      <c r="I264" s="101"/>
    </row>
    <row r="265" spans="1:9" ht="30">
      <c r="B265" s="96" t="s">
        <v>338</v>
      </c>
      <c r="C265" s="96" t="s">
        <v>330</v>
      </c>
      <c r="D265" s="96" t="s">
        <v>176</v>
      </c>
      <c r="E265" s="98">
        <v>0.69126526370194608</v>
      </c>
      <c r="F265" s="98">
        <v>-4.430366167057162E-2</v>
      </c>
      <c r="G265" s="101">
        <v>160.74981258060757</v>
      </c>
      <c r="H265" s="100">
        <v>7.1089872602240409E-2</v>
      </c>
      <c r="I265" s="101">
        <v>79.292305199581222</v>
      </c>
    </row>
    <row r="266" spans="1:9">
      <c r="B266" s="96" t="s">
        <v>339</v>
      </c>
      <c r="C266" s="96" t="s">
        <v>330</v>
      </c>
      <c r="D266" s="96" t="s">
        <v>184</v>
      </c>
      <c r="E266" s="102">
        <v>5.2201492928603832E-4</v>
      </c>
      <c r="F266" s="102">
        <v>2.5588516039403175</v>
      </c>
      <c r="G266" s="103">
        <v>437.50911485311769</v>
      </c>
      <c r="H266" s="104">
        <v>-0.42156570192529519</v>
      </c>
      <c r="I266" s="103"/>
    </row>
    <row r="267" spans="1:9" ht="30">
      <c r="B267" s="96" t="s">
        <v>340</v>
      </c>
      <c r="C267" s="96" t="s">
        <v>330</v>
      </c>
      <c r="D267" s="96" t="s">
        <v>176</v>
      </c>
      <c r="E267" s="98">
        <v>0.44418261744766357</v>
      </c>
      <c r="F267" s="98">
        <v>-4.7521056899193462E-2</v>
      </c>
      <c r="G267" s="101">
        <v>179.62323992055119</v>
      </c>
      <c r="H267" s="100">
        <v>7.5265353328601972E-2</v>
      </c>
      <c r="I267" s="101">
        <v>80.774787779351939</v>
      </c>
    </row>
    <row r="268" spans="1:9" ht="30">
      <c r="B268" s="96" t="s">
        <v>341</v>
      </c>
      <c r="C268" s="96" t="s">
        <v>330</v>
      </c>
      <c r="D268" s="96" t="s">
        <v>176</v>
      </c>
      <c r="E268" s="98">
        <v>0.40527196926133963</v>
      </c>
      <c r="F268" s="98">
        <v>-4.8431667805289375E-2</v>
      </c>
      <c r="G268" s="101">
        <v>184.93048744903305</v>
      </c>
      <c r="H268" s="100">
        <v>7.536967986323162E-2</v>
      </c>
      <c r="I268" s="101">
        <v>82.132320047405258</v>
      </c>
    </row>
    <row r="269" spans="1:9">
      <c r="B269" s="96" t="s">
        <v>342</v>
      </c>
      <c r="C269" s="96" t="s">
        <v>330</v>
      </c>
      <c r="D269" s="97" t="s">
        <v>174</v>
      </c>
      <c r="E269" s="98">
        <v>1.0145125967711537E-3</v>
      </c>
      <c r="F269" s="98">
        <v>1.5055203037421354E-4</v>
      </c>
      <c r="G269" s="99">
        <v>-1.1084281551262435E-6</v>
      </c>
      <c r="H269" s="100"/>
      <c r="I269" s="101"/>
    </row>
    <row r="270" spans="1:9">
      <c r="B270" s="96" t="s">
        <v>343</v>
      </c>
      <c r="C270" s="96" t="s">
        <v>330</v>
      </c>
      <c r="D270" s="96" t="s">
        <v>174</v>
      </c>
      <c r="E270" s="98">
        <v>1.4201186597831679E-3</v>
      </c>
      <c r="F270" s="98">
        <v>1.6823965239756318E-4</v>
      </c>
      <c r="G270" s="99">
        <v>-1.2904797975722047E-6</v>
      </c>
      <c r="H270" s="100"/>
      <c r="I270" s="101"/>
    </row>
    <row r="271" spans="1:9">
      <c r="B271" s="96" t="s">
        <v>344</v>
      </c>
      <c r="C271" s="96" t="s">
        <v>330</v>
      </c>
      <c r="D271" s="96" t="s">
        <v>174</v>
      </c>
      <c r="E271" s="98">
        <v>1.6666912385719407E-3</v>
      </c>
      <c r="F271" s="98">
        <v>1.6868112592150378E-4</v>
      </c>
      <c r="G271" s="99">
        <v>-1.3007977765356506E-6</v>
      </c>
      <c r="H271" s="100"/>
      <c r="I271" s="101"/>
    </row>
    <row r="272" spans="1:9">
      <c r="B272" s="96" t="s">
        <v>345</v>
      </c>
      <c r="C272" s="96" t="s">
        <v>330</v>
      </c>
      <c r="D272" s="96" t="s">
        <v>174</v>
      </c>
      <c r="E272" s="98">
        <v>1.4748618913532621E-3</v>
      </c>
      <c r="F272" s="98">
        <v>1.6424081641467847E-4</v>
      </c>
      <c r="G272" s="99">
        <v>-1.25110663618204E-6</v>
      </c>
      <c r="H272" s="100"/>
      <c r="I272" s="101"/>
    </row>
    <row r="273" spans="1:49">
      <c r="B273" s="96" t="s">
        <v>346</v>
      </c>
      <c r="C273" s="96" t="s">
        <v>330</v>
      </c>
      <c r="D273" s="96" t="s">
        <v>174</v>
      </c>
      <c r="E273" s="98">
        <v>1.5233136879798201E-3</v>
      </c>
      <c r="F273" s="98">
        <v>1.7601662645585879E-4</v>
      </c>
      <c r="G273" s="99">
        <v>-1.3302518225033541E-6</v>
      </c>
      <c r="H273" s="100"/>
      <c r="I273" s="101"/>
    </row>
    <row r="274" spans="1:49">
      <c r="B274" s="96" t="s">
        <v>347</v>
      </c>
      <c r="C274" s="96" t="s">
        <v>330</v>
      </c>
      <c r="D274" s="96" t="s">
        <v>174</v>
      </c>
      <c r="E274" s="98">
        <v>1.4650064884542389E-3</v>
      </c>
      <c r="F274" s="98">
        <v>1.7355473745772203E-4</v>
      </c>
      <c r="G274" s="99">
        <v>-1.3026768340689661E-6</v>
      </c>
      <c r="H274" s="100"/>
      <c r="I274" s="101"/>
    </row>
    <row r="275" spans="1:49">
      <c r="B275" s="96" t="s">
        <v>348</v>
      </c>
      <c r="C275" s="96" t="s">
        <v>330</v>
      </c>
      <c r="D275" s="97" t="s">
        <v>176</v>
      </c>
      <c r="E275" s="101">
        <v>666.9891786109589</v>
      </c>
      <c r="F275" s="98">
        <v>5.1050952659862515E-2</v>
      </c>
      <c r="G275" s="101">
        <v>5141.6705848472429</v>
      </c>
      <c r="H275" s="100">
        <v>0.5569747318461763</v>
      </c>
      <c r="I275" s="101">
        <v>230.89854566267641</v>
      </c>
    </row>
    <row r="276" spans="1:49" ht="30">
      <c r="B276" s="96" t="s">
        <v>349</v>
      </c>
      <c r="C276" s="96" t="s">
        <v>330</v>
      </c>
      <c r="D276" s="96" t="s">
        <v>176</v>
      </c>
      <c r="E276" s="101">
        <v>523.53582066185368</v>
      </c>
      <c r="F276" s="98">
        <v>4.9423050788441024E-2</v>
      </c>
      <c r="G276" s="105">
        <v>17421.479604201679</v>
      </c>
      <c r="H276" s="100">
        <v>0.80990716243869898</v>
      </c>
      <c r="I276" s="101">
        <v>201.80527029554037</v>
      </c>
    </row>
    <row r="277" spans="1:49" ht="30">
      <c r="B277" s="96" t="s">
        <v>350</v>
      </c>
      <c r="C277" s="96" t="s">
        <v>330</v>
      </c>
      <c r="D277" s="96" t="s">
        <v>176</v>
      </c>
      <c r="E277" s="101">
        <v>464.24392665784882</v>
      </c>
      <c r="F277" s="98">
        <v>4.7173861238314414E-2</v>
      </c>
      <c r="G277" s="105">
        <v>22777.723978970243</v>
      </c>
      <c r="H277" s="100">
        <v>0.8841850114364902</v>
      </c>
      <c r="I277" s="101">
        <v>195.47615566525084</v>
      </c>
    </row>
    <row r="278" spans="1:49" ht="30">
      <c r="B278" s="96" t="s">
        <v>351</v>
      </c>
      <c r="C278" s="96" t="s">
        <v>330</v>
      </c>
      <c r="D278" s="96" t="s">
        <v>176</v>
      </c>
      <c r="E278" s="101">
        <v>496.03792478822152</v>
      </c>
      <c r="F278" s="98">
        <v>4.6618326618580057E-2</v>
      </c>
      <c r="G278" s="101">
        <v>3798.3107636606655</v>
      </c>
      <c r="H278" s="100">
        <v>0.57371545850851402</v>
      </c>
      <c r="I278" s="101">
        <v>199.10129681071564</v>
      </c>
    </row>
    <row r="279" spans="1:49" ht="30">
      <c r="B279" s="96" t="s">
        <v>352</v>
      </c>
      <c r="C279" s="96" t="s">
        <v>330</v>
      </c>
      <c r="D279" s="96" t="s">
        <v>176</v>
      </c>
      <c r="E279" s="101">
        <v>468.85993310724848</v>
      </c>
      <c r="F279" s="98">
        <v>4.6755682026572633E-2</v>
      </c>
      <c r="G279" s="101">
        <v>4328.6080910583369</v>
      </c>
      <c r="H279" s="100">
        <v>0.58700550137035956</v>
      </c>
      <c r="I279" s="101">
        <v>185.20484660232063</v>
      </c>
    </row>
    <row r="280" spans="1:49" ht="30">
      <c r="B280" s="96" t="s">
        <v>353</v>
      </c>
      <c r="C280" s="96" t="s">
        <v>330</v>
      </c>
      <c r="D280" s="96" t="s">
        <v>176</v>
      </c>
      <c r="E280" s="101">
        <v>481.36856635219726</v>
      </c>
      <c r="F280" s="98">
        <v>4.6562270427411331E-2</v>
      </c>
      <c r="G280" s="101">
        <v>4106.1593981621554</v>
      </c>
      <c r="H280" s="100">
        <v>0.56936063768609679</v>
      </c>
      <c r="I280" s="101">
        <v>187.4358933714814</v>
      </c>
    </row>
    <row r="282" spans="1:49" ht="15.75" thickBot="1">
      <c r="A282" s="23" t="s">
        <v>354</v>
      </c>
    </row>
    <row r="283" spans="1:49" s="23" customFormat="1" ht="13.5" thickBot="1">
      <c r="A283" s="66" t="s">
        <v>286</v>
      </c>
      <c r="B283" s="67" t="s">
        <v>258</v>
      </c>
      <c r="C283" s="67" t="s">
        <v>24</v>
      </c>
      <c r="D283" s="67" t="s">
        <v>261</v>
      </c>
      <c r="E283" s="67" t="s">
        <v>262</v>
      </c>
      <c r="F283" s="67" t="s">
        <v>263</v>
      </c>
      <c r="G283" s="67" t="s">
        <v>264</v>
      </c>
      <c r="H283" s="67" t="s">
        <v>265</v>
      </c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5"/>
      <c r="AW283" s="45"/>
    </row>
    <row r="284" spans="1:49" s="23" customFormat="1" ht="13.5" thickBot="1">
      <c r="A284" s="68" t="s">
        <v>287</v>
      </c>
      <c r="B284" s="69" t="s">
        <v>288</v>
      </c>
      <c r="C284" s="70" t="s">
        <v>289</v>
      </c>
      <c r="D284" s="71">
        <v>681</v>
      </c>
      <c r="E284" s="71">
        <v>-0.58299999999999996</v>
      </c>
      <c r="F284" s="71" t="s">
        <v>290</v>
      </c>
      <c r="G284" s="71" t="s">
        <v>268</v>
      </c>
      <c r="H284" s="71" t="s">
        <v>268</v>
      </c>
      <c r="I284" s="23">
        <v>188</v>
      </c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5"/>
      <c r="AW284" s="45"/>
    </row>
    <row r="285" spans="1:49" s="23" customFormat="1" ht="13.5" thickBot="1">
      <c r="A285" s="72"/>
      <c r="B285" s="69" t="s">
        <v>19</v>
      </c>
      <c r="C285" s="70" t="s">
        <v>269</v>
      </c>
      <c r="D285" s="106">
        <v>191</v>
      </c>
      <c r="E285" s="106">
        <v>0.129</v>
      </c>
      <c r="F285" s="106">
        <v>1.17</v>
      </c>
      <c r="G285" s="106">
        <v>-7.2300000000000001E-4</v>
      </c>
      <c r="H285" s="106">
        <v>0</v>
      </c>
      <c r="I285" s="56">
        <f>+I284+1</f>
        <v>189</v>
      </c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5"/>
      <c r="AW285" s="45"/>
    </row>
    <row r="286" spans="1:49" s="23" customFormat="1" ht="13.5" thickBot="1">
      <c r="A286" s="72"/>
      <c r="B286" s="73"/>
      <c r="C286" s="70" t="s">
        <v>291</v>
      </c>
      <c r="D286" s="106">
        <v>208</v>
      </c>
      <c r="E286" s="106">
        <v>0.107</v>
      </c>
      <c r="F286" s="106">
        <v>-0.56499999999999995</v>
      </c>
      <c r="G286" s="106">
        <v>5.0000000000000001E-4</v>
      </c>
      <c r="H286" s="106">
        <v>1.43E-2</v>
      </c>
      <c r="I286" s="56">
        <f t="shared" ref="I286:I293" si="11">+I285+1</f>
        <v>190</v>
      </c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5"/>
      <c r="AW286" s="45"/>
    </row>
    <row r="287" spans="1:49" s="23" customFormat="1" ht="13.5" thickBot="1">
      <c r="A287" s="72"/>
      <c r="B287" s="73"/>
      <c r="C287" s="70" t="s">
        <v>292</v>
      </c>
      <c r="D287" s="106">
        <v>170</v>
      </c>
      <c r="E287" s="106">
        <v>928</v>
      </c>
      <c r="F287" s="106">
        <v>0.41799999999999998</v>
      </c>
      <c r="G287" s="106">
        <v>-4.5199999999999998E-4</v>
      </c>
      <c r="H287" s="106">
        <v>4.9899999999999996E-3</v>
      </c>
      <c r="I287" s="56">
        <f t="shared" si="11"/>
        <v>191</v>
      </c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5"/>
      <c r="AW287" s="45"/>
    </row>
    <row r="288" spans="1:49" s="23" customFormat="1" ht="13.5" thickBot="1">
      <c r="A288" s="72"/>
      <c r="B288" s="74"/>
      <c r="C288" s="70" t="s">
        <v>293</v>
      </c>
      <c r="D288" s="106">
        <v>136</v>
      </c>
      <c r="E288" s="106">
        <v>2.5999999999999999E-2</v>
      </c>
      <c r="F288" s="106">
        <v>-1.65</v>
      </c>
      <c r="G288" s="106">
        <v>2.2800000000000001E-4</v>
      </c>
      <c r="H288" s="106">
        <v>3.1199999999999999E-2</v>
      </c>
      <c r="I288" s="56">
        <f t="shared" si="11"/>
        <v>192</v>
      </c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5"/>
      <c r="AW288" s="45"/>
    </row>
    <row r="289" spans="1:49" s="23" customFormat="1" ht="13.5" thickBot="1">
      <c r="A289" s="72"/>
      <c r="B289" s="69" t="s">
        <v>288</v>
      </c>
      <c r="C289" s="70" t="s">
        <v>289</v>
      </c>
      <c r="D289" s="71"/>
      <c r="E289" s="71"/>
      <c r="F289" s="71"/>
      <c r="G289" s="71"/>
      <c r="H289" s="71"/>
      <c r="I289" s="23">
        <f t="shared" si="11"/>
        <v>193</v>
      </c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5"/>
      <c r="AW289" s="45"/>
    </row>
    <row r="290" spans="1:49" s="23" customFormat="1" ht="13.5" thickBot="1">
      <c r="A290" s="72"/>
      <c r="B290" s="69" t="s">
        <v>20</v>
      </c>
      <c r="C290" s="70" t="s">
        <v>269</v>
      </c>
      <c r="D290" s="71"/>
      <c r="E290" s="71"/>
      <c r="F290" s="71"/>
      <c r="G290" s="71"/>
      <c r="H290" s="71"/>
      <c r="I290" s="56">
        <f t="shared" si="11"/>
        <v>194</v>
      </c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5"/>
      <c r="AW290" s="45"/>
    </row>
    <row r="291" spans="1:49" s="23" customFormat="1" ht="13.5" thickBot="1">
      <c r="A291" s="72"/>
      <c r="B291" s="73"/>
      <c r="C291" s="70" t="s">
        <v>291</v>
      </c>
      <c r="D291" s="71"/>
      <c r="E291" s="71"/>
      <c r="F291" s="71"/>
      <c r="G291" s="71"/>
      <c r="H291" s="71"/>
      <c r="I291" s="56">
        <f t="shared" si="11"/>
        <v>195</v>
      </c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5"/>
      <c r="AW291" s="45"/>
    </row>
    <row r="292" spans="1:49" s="23" customFormat="1" ht="13.5" thickBot="1">
      <c r="A292" s="72"/>
      <c r="B292" s="73"/>
      <c r="C292" s="70" t="s">
        <v>292</v>
      </c>
      <c r="D292" s="71"/>
      <c r="E292" s="71"/>
      <c r="F292" s="71"/>
      <c r="G292" s="71"/>
      <c r="H292" s="71"/>
      <c r="I292" s="56">
        <f t="shared" si="11"/>
        <v>196</v>
      </c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5"/>
      <c r="AW292" s="45"/>
    </row>
    <row r="293" spans="1:49" s="23" customFormat="1" ht="13.5" thickBot="1">
      <c r="A293" s="72"/>
      <c r="B293" s="74"/>
      <c r="C293" s="70" t="s">
        <v>293</v>
      </c>
      <c r="D293" s="71"/>
      <c r="E293" s="71"/>
      <c r="F293" s="71"/>
      <c r="G293" s="71"/>
      <c r="H293" s="71"/>
      <c r="I293" s="56">
        <f t="shared" si="11"/>
        <v>197</v>
      </c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5"/>
      <c r="AW293" s="45"/>
    </row>
    <row r="296" spans="1:49" ht="15.75" thickBot="1">
      <c r="A296" s="23" t="s">
        <v>355</v>
      </c>
    </row>
    <row r="297" spans="1:49" s="23" customFormat="1" ht="13.5" thickBot="1">
      <c r="A297" s="66" t="s">
        <v>286</v>
      </c>
      <c r="B297" s="67" t="s">
        <v>258</v>
      </c>
      <c r="C297" s="67" t="s">
        <v>24</v>
      </c>
      <c r="D297" s="67" t="s">
        <v>261</v>
      </c>
      <c r="E297" s="67" t="s">
        <v>262</v>
      </c>
      <c r="F297" s="67" t="s">
        <v>263</v>
      </c>
      <c r="G297" s="67" t="s">
        <v>264</v>
      </c>
      <c r="H297" s="67" t="s">
        <v>265</v>
      </c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5"/>
      <c r="AW297" s="45"/>
    </row>
    <row r="298" spans="1:49" s="23" customFormat="1" ht="13.5" thickBot="1">
      <c r="A298" s="68" t="s">
        <v>287</v>
      </c>
      <c r="B298" s="69" t="s">
        <v>288</v>
      </c>
      <c r="C298" s="70" t="s">
        <v>289</v>
      </c>
      <c r="D298" s="71">
        <v>681</v>
      </c>
      <c r="E298" s="71">
        <v>-0.58299999999999996</v>
      </c>
      <c r="F298" s="71" t="s">
        <v>290</v>
      </c>
      <c r="G298" s="71" t="s">
        <v>268</v>
      </c>
      <c r="H298" s="71" t="s">
        <v>268</v>
      </c>
      <c r="I298" s="23">
        <v>188</v>
      </c>
      <c r="J298" s="107">
        <v>195</v>
      </c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5"/>
      <c r="AW298" s="45"/>
    </row>
    <row r="299" spans="1:49" s="23" customFormat="1" ht="13.5" thickBot="1">
      <c r="A299" s="72"/>
      <c r="B299" s="69" t="s">
        <v>19</v>
      </c>
      <c r="C299" s="70" t="s">
        <v>269</v>
      </c>
      <c r="D299" s="106">
        <v>230</v>
      </c>
      <c r="E299" s="106">
        <v>6.9400000000000003E-2</v>
      </c>
      <c r="F299" s="106">
        <v>-4.2599999999999999E-2</v>
      </c>
      <c r="G299" s="106">
        <v>-4.46E-4</v>
      </c>
      <c r="H299" s="71">
        <v>0</v>
      </c>
      <c r="I299" s="56">
        <f>+I298+1</f>
        <v>189</v>
      </c>
      <c r="J299" s="107">
        <v>7.1900000000000006E-2</v>
      </c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5"/>
      <c r="AW299" s="45"/>
    </row>
    <row r="300" spans="1:49" s="23" customFormat="1" ht="13.5" thickBot="1">
      <c r="A300" s="72"/>
      <c r="B300" s="73"/>
      <c r="C300" s="70" t="s">
        <v>291</v>
      </c>
      <c r="D300" s="106">
        <v>1540</v>
      </c>
      <c r="E300" s="106">
        <v>0.86899999999999999</v>
      </c>
      <c r="F300" s="106">
        <v>19.100000000000001</v>
      </c>
      <c r="G300" s="106">
        <v>-3.63E-3</v>
      </c>
      <c r="H300" s="71">
        <v>0</v>
      </c>
      <c r="I300" s="56">
        <f t="shared" ref="I300:I307" si="12">+I299+1</f>
        <v>190</v>
      </c>
      <c r="J300" s="107">
        <v>0.187</v>
      </c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5"/>
      <c r="AW300" s="45"/>
    </row>
    <row r="301" spans="1:49" s="23" customFormat="1" ht="13.5" thickBot="1">
      <c r="A301" s="72"/>
      <c r="B301" s="73"/>
      <c r="C301" s="70" t="s">
        <v>292</v>
      </c>
      <c r="D301" s="106">
        <v>253</v>
      </c>
      <c r="E301" s="106">
        <v>9.0200000000000002E-2</v>
      </c>
      <c r="F301" s="106">
        <v>0.502</v>
      </c>
      <c r="G301" s="106">
        <v>-4.6900000000000002E-4</v>
      </c>
      <c r="H301" s="71">
        <v>0</v>
      </c>
      <c r="I301" s="56">
        <f t="shared" si="12"/>
        <v>191</v>
      </c>
      <c r="J301" s="107">
        <v>-3.3199999999999999E-4</v>
      </c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5"/>
      <c r="AW301" s="45"/>
    </row>
    <row r="302" spans="1:49" s="23" customFormat="1" ht="13.5" thickBot="1">
      <c r="A302" s="72"/>
      <c r="B302" s="74"/>
      <c r="C302" s="70" t="s">
        <v>293</v>
      </c>
      <c r="D302" s="106">
        <v>285</v>
      </c>
      <c r="E302" s="106">
        <v>7.2800000000000004E-2</v>
      </c>
      <c r="F302" s="106">
        <v>-0.13700000000000001</v>
      </c>
      <c r="G302" s="106">
        <v>-4.1599999999999997E-4</v>
      </c>
      <c r="H302" s="71">
        <v>0</v>
      </c>
      <c r="I302" s="56">
        <f t="shared" si="12"/>
        <v>192</v>
      </c>
      <c r="J302" s="107">
        <v>9.9900000000000006E-3</v>
      </c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5"/>
      <c r="AW302" s="45"/>
    </row>
    <row r="303" spans="1:49" s="23" customFormat="1" ht="13.5" thickBot="1">
      <c r="A303" s="72"/>
      <c r="B303" s="69" t="s">
        <v>288</v>
      </c>
      <c r="C303" s="70" t="s">
        <v>289</v>
      </c>
      <c r="D303" s="71"/>
      <c r="E303" s="71"/>
      <c r="F303" s="71"/>
      <c r="G303" s="71"/>
      <c r="H303" s="71"/>
      <c r="I303" s="23">
        <f t="shared" si="12"/>
        <v>193</v>
      </c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5"/>
      <c r="AW303" s="45"/>
    </row>
    <row r="304" spans="1:49" s="23" customFormat="1" ht="13.5" thickBot="1">
      <c r="A304" s="72"/>
      <c r="B304" s="69" t="s">
        <v>20</v>
      </c>
      <c r="C304" s="70" t="s">
        <v>269</v>
      </c>
      <c r="D304" s="106">
        <v>195</v>
      </c>
      <c r="E304" s="106">
        <v>7.1900000000000006E-2</v>
      </c>
      <c r="F304" s="106">
        <v>0.187</v>
      </c>
      <c r="G304" s="106">
        <v>-3.3199999999999999E-4</v>
      </c>
      <c r="H304" s="71">
        <v>9.9900000000000006E-3</v>
      </c>
      <c r="I304" s="56">
        <f t="shared" si="12"/>
        <v>194</v>
      </c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5"/>
      <c r="AW304" s="45"/>
    </row>
    <row r="305" spans="1:49" s="23" customFormat="1" ht="13.5" thickBot="1">
      <c r="A305" s="72"/>
      <c r="B305" s="73"/>
      <c r="C305" s="70" t="s">
        <v>291</v>
      </c>
      <c r="D305" s="106">
        <v>195</v>
      </c>
      <c r="E305" s="106">
        <v>7.1900000000000006E-2</v>
      </c>
      <c r="F305" s="106">
        <v>0.187</v>
      </c>
      <c r="G305" s="106">
        <v>-3.3199999999999999E-4</v>
      </c>
      <c r="H305" s="71">
        <v>9.9900000000000006E-3</v>
      </c>
      <c r="I305" s="56">
        <f t="shared" si="12"/>
        <v>195</v>
      </c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5"/>
      <c r="AW305" s="45"/>
    </row>
    <row r="306" spans="1:49" s="23" customFormat="1" ht="13.5" thickBot="1">
      <c r="A306" s="72"/>
      <c r="B306" s="73"/>
      <c r="C306" s="70" t="s">
        <v>292</v>
      </c>
      <c r="D306" s="106">
        <v>195</v>
      </c>
      <c r="E306" s="106">
        <v>7.1900000000000006E-2</v>
      </c>
      <c r="F306" s="106">
        <v>0.187</v>
      </c>
      <c r="G306" s="106">
        <v>-3.3199999999999999E-4</v>
      </c>
      <c r="H306" s="71">
        <v>9.9900000000000006E-3</v>
      </c>
      <c r="I306" s="56">
        <f t="shared" si="12"/>
        <v>196</v>
      </c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5"/>
      <c r="AW306" s="45"/>
    </row>
    <row r="307" spans="1:49" s="23" customFormat="1" ht="13.5" thickBot="1">
      <c r="A307" s="72"/>
      <c r="B307" s="74"/>
      <c r="C307" s="70" t="s">
        <v>293</v>
      </c>
      <c r="D307" s="106"/>
      <c r="E307" s="106"/>
      <c r="F307" s="106"/>
      <c r="G307" s="106"/>
      <c r="H307" s="71"/>
      <c r="I307" s="56">
        <f t="shared" si="12"/>
        <v>197</v>
      </c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5"/>
      <c r="AW307" s="45"/>
    </row>
  </sheetData>
  <mergeCells count="66">
    <mergeCell ref="A221:A223"/>
    <mergeCell ref="A284:A293"/>
    <mergeCell ref="A298:A307"/>
    <mergeCell ref="A203:A204"/>
    <mergeCell ref="A205:A206"/>
    <mergeCell ref="A207:A208"/>
    <mergeCell ref="A212:A214"/>
    <mergeCell ref="A215:A217"/>
    <mergeCell ref="A218:A220"/>
    <mergeCell ref="A160:A179"/>
    <mergeCell ref="A180:A191"/>
    <mergeCell ref="B180:B183"/>
    <mergeCell ref="B184:B187"/>
    <mergeCell ref="B188:B191"/>
    <mergeCell ref="A192:A197"/>
    <mergeCell ref="B192:B195"/>
    <mergeCell ref="D142:D144"/>
    <mergeCell ref="A146:A153"/>
    <mergeCell ref="B146:B149"/>
    <mergeCell ref="D146:D148"/>
    <mergeCell ref="B150:B153"/>
    <mergeCell ref="D150:D152"/>
    <mergeCell ref="A132:A133"/>
    <mergeCell ref="B132:B133"/>
    <mergeCell ref="C132:C133"/>
    <mergeCell ref="D132:D133"/>
    <mergeCell ref="A134:A145"/>
    <mergeCell ref="B134:B137"/>
    <mergeCell ref="D134:D136"/>
    <mergeCell ref="B138:B141"/>
    <mergeCell ref="D138:D140"/>
    <mergeCell ref="B142:B145"/>
    <mergeCell ref="A111:A112"/>
    <mergeCell ref="B111:B112"/>
    <mergeCell ref="C111:C112"/>
    <mergeCell ref="A113:A128"/>
    <mergeCell ref="B113:B116"/>
    <mergeCell ref="B117:B120"/>
    <mergeCell ref="B121:B124"/>
    <mergeCell ref="B125:B128"/>
    <mergeCell ref="C89:C90"/>
    <mergeCell ref="A91:A106"/>
    <mergeCell ref="B91:B94"/>
    <mergeCell ref="B95:B98"/>
    <mergeCell ref="B99:B102"/>
    <mergeCell ref="B103:B106"/>
    <mergeCell ref="A70:A85"/>
    <mergeCell ref="B70:B73"/>
    <mergeCell ref="B74:B77"/>
    <mergeCell ref="B78:B81"/>
    <mergeCell ref="B82:B85"/>
    <mergeCell ref="A89:A90"/>
    <mergeCell ref="B89:B90"/>
    <mergeCell ref="F1:F2"/>
    <mergeCell ref="G1:Q1"/>
    <mergeCell ref="R1:AA1"/>
    <mergeCell ref="AB1:AK1"/>
    <mergeCell ref="AL1:AU1"/>
    <mergeCell ref="A68:A69"/>
    <mergeCell ref="B68:B69"/>
    <mergeCell ref="C68:C69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"/>
  <sheetViews>
    <sheetView workbookViewId="0">
      <selection activeCell="BF5" sqref="BF5"/>
    </sheetView>
  </sheetViews>
  <sheetFormatPr baseColWidth="10" defaultRowHeight="15"/>
  <cols>
    <col min="1" max="1" width="15.42578125" style="105" bestFit="1" customWidth="1"/>
    <col min="2" max="2" width="19.140625" style="105" bestFit="1" customWidth="1"/>
    <col min="3" max="3" width="11.42578125" style="105"/>
    <col min="4" max="4" width="12.140625" style="105" bestFit="1" customWidth="1"/>
    <col min="5" max="5" width="16.85546875" style="105" bestFit="1" customWidth="1"/>
    <col min="6" max="6" width="8.7109375" style="105" bestFit="1" customWidth="1"/>
    <col min="7" max="7" width="11.42578125" style="105"/>
    <col min="8" max="8" width="14.85546875" style="105" customWidth="1"/>
    <col min="9" max="9" width="12" style="105" customWidth="1"/>
    <col min="10" max="10" width="17.85546875" style="105" customWidth="1"/>
    <col min="11" max="11" width="24" style="105" customWidth="1"/>
    <col min="12" max="12" width="27.5703125" style="105" customWidth="1"/>
    <col min="13" max="13" width="20.140625" style="105" customWidth="1"/>
    <col min="14" max="14" width="20" style="105" customWidth="1"/>
    <col min="15" max="15" width="10.5703125" style="105" customWidth="1"/>
    <col min="16" max="16" width="20.140625" style="105" customWidth="1"/>
    <col min="17" max="17" width="11.42578125" style="105" customWidth="1"/>
    <col min="18" max="18" width="19.42578125" style="105" customWidth="1"/>
    <col min="19" max="20" width="11.42578125" style="105" customWidth="1"/>
    <col min="21" max="21" width="11.140625" style="105" customWidth="1"/>
    <col min="22" max="22" width="10.42578125" style="130" customWidth="1"/>
    <col min="23" max="23" width="10.28515625" style="130" customWidth="1"/>
    <col min="24" max="24" width="11.42578125" style="130" customWidth="1"/>
    <col min="25" max="25" width="10.5703125" style="130" customWidth="1"/>
    <col min="26" max="26" width="10.42578125" style="130" customWidth="1"/>
    <col min="27" max="27" width="11.42578125" style="130" customWidth="1"/>
    <col min="28" max="28" width="11.5703125" style="130" customWidth="1"/>
    <col min="29" max="30" width="11.42578125" style="130" customWidth="1"/>
    <col min="31" max="31" width="11.140625" style="130" customWidth="1"/>
    <col min="32" max="32" width="10.42578125" style="130" customWidth="1"/>
    <col min="33" max="33" width="10.28515625" style="130" customWidth="1"/>
    <col min="34" max="34" width="11.42578125" style="130" customWidth="1"/>
    <col min="35" max="35" width="10.5703125" style="130" customWidth="1"/>
    <col min="36" max="36" width="10.42578125" style="130" customWidth="1"/>
    <col min="37" max="37" width="11.42578125" style="130" customWidth="1"/>
    <col min="38" max="38" width="11.5703125" style="130" customWidth="1"/>
    <col min="39" max="40" width="11.42578125" style="130" customWidth="1"/>
    <col min="41" max="41" width="11.140625" style="130" customWidth="1"/>
    <col min="42" max="42" width="10.42578125" style="130" customWidth="1"/>
    <col min="43" max="43" width="10.28515625" style="130" customWidth="1"/>
    <col min="44" max="44" width="11.42578125" style="130" customWidth="1"/>
    <col min="45" max="45" width="10.5703125" style="130" customWidth="1"/>
    <col min="46" max="46" width="10.42578125" style="130" customWidth="1"/>
    <col min="47" max="47" width="11.42578125" style="130" customWidth="1"/>
    <col min="48" max="48" width="11.5703125" style="130" customWidth="1"/>
    <col min="49" max="50" width="11.42578125" style="130" customWidth="1"/>
    <col min="51" max="51" width="11.140625" style="130" customWidth="1"/>
    <col min="52" max="53" width="17.7109375" style="105" customWidth="1"/>
    <col min="54" max="255" width="11.42578125" style="105"/>
    <col min="256" max="256" width="15.42578125" style="105" bestFit="1" customWidth="1"/>
    <col min="257" max="257" width="19.140625" style="105" bestFit="1" customWidth="1"/>
    <col min="258" max="258" width="11.42578125" style="105"/>
    <col min="259" max="259" width="12.140625" style="105" bestFit="1" customWidth="1"/>
    <col min="260" max="260" width="16.85546875" style="105" bestFit="1" customWidth="1"/>
    <col min="261" max="261" width="8.7109375" style="105" bestFit="1" customWidth="1"/>
    <col min="262" max="262" width="11.42578125" style="105"/>
    <col min="263" max="263" width="14.85546875" style="105" customWidth="1"/>
    <col min="264" max="264" width="12" style="105" customWidth="1"/>
    <col min="265" max="265" width="17.85546875" style="105" customWidth="1"/>
    <col min="266" max="266" width="24" style="105" customWidth="1"/>
    <col min="267" max="267" width="27.5703125" style="105" customWidth="1"/>
    <col min="268" max="268" width="20.140625" style="105" customWidth="1"/>
    <col min="269" max="269" width="20" style="105" customWidth="1"/>
    <col min="270" max="270" width="10.5703125" style="105" customWidth="1"/>
    <col min="271" max="271" width="20.140625" style="105" customWidth="1"/>
    <col min="272" max="272" width="11.42578125" style="105" customWidth="1"/>
    <col min="273" max="273" width="19.42578125" style="105" customWidth="1"/>
    <col min="274" max="275" width="11.42578125" style="105" customWidth="1"/>
    <col min="276" max="276" width="11.140625" style="105" customWidth="1"/>
    <col min="277" max="277" width="10.42578125" style="105" customWidth="1"/>
    <col min="278" max="278" width="10.28515625" style="105" customWidth="1"/>
    <col min="279" max="279" width="11.42578125" style="105" customWidth="1"/>
    <col min="280" max="280" width="10.5703125" style="105" customWidth="1"/>
    <col min="281" max="281" width="10.42578125" style="105" customWidth="1"/>
    <col min="282" max="282" width="11.42578125" style="105" customWidth="1"/>
    <col min="283" max="283" width="11.5703125" style="105" customWidth="1"/>
    <col min="284" max="285" width="11.42578125" style="105" customWidth="1"/>
    <col min="286" max="286" width="11.140625" style="105" customWidth="1"/>
    <col min="287" max="287" width="10.42578125" style="105" customWidth="1"/>
    <col min="288" max="288" width="10.28515625" style="105" customWidth="1"/>
    <col min="289" max="289" width="11.42578125" style="105" customWidth="1"/>
    <col min="290" max="290" width="10.5703125" style="105" customWidth="1"/>
    <col min="291" max="291" width="10.42578125" style="105" customWidth="1"/>
    <col min="292" max="292" width="11.42578125" style="105" customWidth="1"/>
    <col min="293" max="293" width="11.5703125" style="105" customWidth="1"/>
    <col min="294" max="295" width="11.42578125" style="105" customWidth="1"/>
    <col min="296" max="296" width="11.140625" style="105" customWidth="1"/>
    <col min="297" max="297" width="10.42578125" style="105" customWidth="1"/>
    <col min="298" max="298" width="10.28515625" style="105" customWidth="1"/>
    <col min="299" max="299" width="11.42578125" style="105" customWidth="1"/>
    <col min="300" max="300" width="10.5703125" style="105" customWidth="1"/>
    <col min="301" max="301" width="10.42578125" style="105" customWidth="1"/>
    <col min="302" max="302" width="11.42578125" style="105" customWidth="1"/>
    <col min="303" max="303" width="11.5703125" style="105" customWidth="1"/>
    <col min="304" max="305" width="11.42578125" style="105" customWidth="1"/>
    <col min="306" max="306" width="11.140625" style="105" customWidth="1"/>
    <col min="307" max="308" width="17.7109375" style="105" customWidth="1"/>
    <col min="309" max="309" width="22.5703125" style="105" customWidth="1"/>
    <col min="310" max="511" width="11.42578125" style="105"/>
    <col min="512" max="512" width="15.42578125" style="105" bestFit="1" customWidth="1"/>
    <col min="513" max="513" width="19.140625" style="105" bestFit="1" customWidth="1"/>
    <col min="514" max="514" width="11.42578125" style="105"/>
    <col min="515" max="515" width="12.140625" style="105" bestFit="1" customWidth="1"/>
    <col min="516" max="516" width="16.85546875" style="105" bestFit="1" customWidth="1"/>
    <col min="517" max="517" width="8.7109375" style="105" bestFit="1" customWidth="1"/>
    <col min="518" max="518" width="11.42578125" style="105"/>
    <col min="519" max="519" width="14.85546875" style="105" customWidth="1"/>
    <col min="520" max="520" width="12" style="105" customWidth="1"/>
    <col min="521" max="521" width="17.85546875" style="105" customWidth="1"/>
    <col min="522" max="522" width="24" style="105" customWidth="1"/>
    <col min="523" max="523" width="27.5703125" style="105" customWidth="1"/>
    <col min="524" max="524" width="20.140625" style="105" customWidth="1"/>
    <col min="525" max="525" width="20" style="105" customWidth="1"/>
    <col min="526" max="526" width="10.5703125" style="105" customWidth="1"/>
    <col min="527" max="527" width="20.140625" style="105" customWidth="1"/>
    <col min="528" max="528" width="11.42578125" style="105" customWidth="1"/>
    <col min="529" max="529" width="19.42578125" style="105" customWidth="1"/>
    <col min="530" max="531" width="11.42578125" style="105" customWidth="1"/>
    <col min="532" max="532" width="11.140625" style="105" customWidth="1"/>
    <col min="533" max="533" width="10.42578125" style="105" customWidth="1"/>
    <col min="534" max="534" width="10.28515625" style="105" customWidth="1"/>
    <col min="535" max="535" width="11.42578125" style="105" customWidth="1"/>
    <col min="536" max="536" width="10.5703125" style="105" customWidth="1"/>
    <col min="537" max="537" width="10.42578125" style="105" customWidth="1"/>
    <col min="538" max="538" width="11.42578125" style="105" customWidth="1"/>
    <col min="539" max="539" width="11.5703125" style="105" customWidth="1"/>
    <col min="540" max="541" width="11.42578125" style="105" customWidth="1"/>
    <col min="542" max="542" width="11.140625" style="105" customWidth="1"/>
    <col min="543" max="543" width="10.42578125" style="105" customWidth="1"/>
    <col min="544" max="544" width="10.28515625" style="105" customWidth="1"/>
    <col min="545" max="545" width="11.42578125" style="105" customWidth="1"/>
    <col min="546" max="546" width="10.5703125" style="105" customWidth="1"/>
    <col min="547" max="547" width="10.42578125" style="105" customWidth="1"/>
    <col min="548" max="548" width="11.42578125" style="105" customWidth="1"/>
    <col min="549" max="549" width="11.5703125" style="105" customWidth="1"/>
    <col min="550" max="551" width="11.42578125" style="105" customWidth="1"/>
    <col min="552" max="552" width="11.140625" style="105" customWidth="1"/>
    <col min="553" max="553" width="10.42578125" style="105" customWidth="1"/>
    <col min="554" max="554" width="10.28515625" style="105" customWidth="1"/>
    <col min="555" max="555" width="11.42578125" style="105" customWidth="1"/>
    <col min="556" max="556" width="10.5703125" style="105" customWidth="1"/>
    <col min="557" max="557" width="10.42578125" style="105" customWidth="1"/>
    <col min="558" max="558" width="11.42578125" style="105" customWidth="1"/>
    <col min="559" max="559" width="11.5703125" style="105" customWidth="1"/>
    <col min="560" max="561" width="11.42578125" style="105" customWidth="1"/>
    <col min="562" max="562" width="11.140625" style="105" customWidth="1"/>
    <col min="563" max="564" width="17.7109375" style="105" customWidth="1"/>
    <col min="565" max="565" width="22.5703125" style="105" customWidth="1"/>
    <col min="566" max="767" width="11.42578125" style="105"/>
    <col min="768" max="768" width="15.42578125" style="105" bestFit="1" customWidth="1"/>
    <col min="769" max="769" width="19.140625" style="105" bestFit="1" customWidth="1"/>
    <col min="770" max="770" width="11.42578125" style="105"/>
    <col min="771" max="771" width="12.140625" style="105" bestFit="1" customWidth="1"/>
    <col min="772" max="772" width="16.85546875" style="105" bestFit="1" customWidth="1"/>
    <col min="773" max="773" width="8.7109375" style="105" bestFit="1" customWidth="1"/>
    <col min="774" max="774" width="11.42578125" style="105"/>
    <col min="775" max="775" width="14.85546875" style="105" customWidth="1"/>
    <col min="776" max="776" width="12" style="105" customWidth="1"/>
    <col min="777" max="777" width="17.85546875" style="105" customWidth="1"/>
    <col min="778" max="778" width="24" style="105" customWidth="1"/>
    <col min="779" max="779" width="27.5703125" style="105" customWidth="1"/>
    <col min="780" max="780" width="20.140625" style="105" customWidth="1"/>
    <col min="781" max="781" width="20" style="105" customWidth="1"/>
    <col min="782" max="782" width="10.5703125" style="105" customWidth="1"/>
    <col min="783" max="783" width="20.140625" style="105" customWidth="1"/>
    <col min="784" max="784" width="11.42578125" style="105" customWidth="1"/>
    <col min="785" max="785" width="19.42578125" style="105" customWidth="1"/>
    <col min="786" max="787" width="11.42578125" style="105" customWidth="1"/>
    <col min="788" max="788" width="11.140625" style="105" customWidth="1"/>
    <col min="789" max="789" width="10.42578125" style="105" customWidth="1"/>
    <col min="790" max="790" width="10.28515625" style="105" customWidth="1"/>
    <col min="791" max="791" width="11.42578125" style="105" customWidth="1"/>
    <col min="792" max="792" width="10.5703125" style="105" customWidth="1"/>
    <col min="793" max="793" width="10.42578125" style="105" customWidth="1"/>
    <col min="794" max="794" width="11.42578125" style="105" customWidth="1"/>
    <col min="795" max="795" width="11.5703125" style="105" customWidth="1"/>
    <col min="796" max="797" width="11.42578125" style="105" customWidth="1"/>
    <col min="798" max="798" width="11.140625" style="105" customWidth="1"/>
    <col min="799" max="799" width="10.42578125" style="105" customWidth="1"/>
    <col min="800" max="800" width="10.28515625" style="105" customWidth="1"/>
    <col min="801" max="801" width="11.42578125" style="105" customWidth="1"/>
    <col min="802" max="802" width="10.5703125" style="105" customWidth="1"/>
    <col min="803" max="803" width="10.42578125" style="105" customWidth="1"/>
    <col min="804" max="804" width="11.42578125" style="105" customWidth="1"/>
    <col min="805" max="805" width="11.5703125" style="105" customWidth="1"/>
    <col min="806" max="807" width="11.42578125" style="105" customWidth="1"/>
    <col min="808" max="808" width="11.140625" style="105" customWidth="1"/>
    <col min="809" max="809" width="10.42578125" style="105" customWidth="1"/>
    <col min="810" max="810" width="10.28515625" style="105" customWidth="1"/>
    <col min="811" max="811" width="11.42578125" style="105" customWidth="1"/>
    <col min="812" max="812" width="10.5703125" style="105" customWidth="1"/>
    <col min="813" max="813" width="10.42578125" style="105" customWidth="1"/>
    <col min="814" max="814" width="11.42578125" style="105" customWidth="1"/>
    <col min="815" max="815" width="11.5703125" style="105" customWidth="1"/>
    <col min="816" max="817" width="11.42578125" style="105" customWidth="1"/>
    <col min="818" max="818" width="11.140625" style="105" customWidth="1"/>
    <col min="819" max="820" width="17.7109375" style="105" customWidth="1"/>
    <col min="821" max="821" width="22.5703125" style="105" customWidth="1"/>
    <col min="822" max="1023" width="11.42578125" style="105"/>
    <col min="1024" max="1024" width="15.42578125" style="105" bestFit="1" customWidth="1"/>
    <col min="1025" max="1025" width="19.140625" style="105" bestFit="1" customWidth="1"/>
    <col min="1026" max="1026" width="11.42578125" style="105"/>
    <col min="1027" max="1027" width="12.140625" style="105" bestFit="1" customWidth="1"/>
    <col min="1028" max="1028" width="16.85546875" style="105" bestFit="1" customWidth="1"/>
    <col min="1029" max="1029" width="8.7109375" style="105" bestFit="1" customWidth="1"/>
    <col min="1030" max="1030" width="11.42578125" style="105"/>
    <col min="1031" max="1031" width="14.85546875" style="105" customWidth="1"/>
    <col min="1032" max="1032" width="12" style="105" customWidth="1"/>
    <col min="1033" max="1033" width="17.85546875" style="105" customWidth="1"/>
    <col min="1034" max="1034" width="24" style="105" customWidth="1"/>
    <col min="1035" max="1035" width="27.5703125" style="105" customWidth="1"/>
    <col min="1036" max="1036" width="20.140625" style="105" customWidth="1"/>
    <col min="1037" max="1037" width="20" style="105" customWidth="1"/>
    <col min="1038" max="1038" width="10.5703125" style="105" customWidth="1"/>
    <col min="1039" max="1039" width="20.140625" style="105" customWidth="1"/>
    <col min="1040" max="1040" width="11.42578125" style="105" customWidth="1"/>
    <col min="1041" max="1041" width="19.42578125" style="105" customWidth="1"/>
    <col min="1042" max="1043" width="11.42578125" style="105" customWidth="1"/>
    <col min="1044" max="1044" width="11.140625" style="105" customWidth="1"/>
    <col min="1045" max="1045" width="10.42578125" style="105" customWidth="1"/>
    <col min="1046" max="1046" width="10.28515625" style="105" customWidth="1"/>
    <col min="1047" max="1047" width="11.42578125" style="105" customWidth="1"/>
    <col min="1048" max="1048" width="10.5703125" style="105" customWidth="1"/>
    <col min="1049" max="1049" width="10.42578125" style="105" customWidth="1"/>
    <col min="1050" max="1050" width="11.42578125" style="105" customWidth="1"/>
    <col min="1051" max="1051" width="11.5703125" style="105" customWidth="1"/>
    <col min="1052" max="1053" width="11.42578125" style="105" customWidth="1"/>
    <col min="1054" max="1054" width="11.140625" style="105" customWidth="1"/>
    <col min="1055" max="1055" width="10.42578125" style="105" customWidth="1"/>
    <col min="1056" max="1056" width="10.28515625" style="105" customWidth="1"/>
    <col min="1057" max="1057" width="11.42578125" style="105" customWidth="1"/>
    <col min="1058" max="1058" width="10.5703125" style="105" customWidth="1"/>
    <col min="1059" max="1059" width="10.42578125" style="105" customWidth="1"/>
    <col min="1060" max="1060" width="11.42578125" style="105" customWidth="1"/>
    <col min="1061" max="1061" width="11.5703125" style="105" customWidth="1"/>
    <col min="1062" max="1063" width="11.42578125" style="105" customWidth="1"/>
    <col min="1064" max="1064" width="11.140625" style="105" customWidth="1"/>
    <col min="1065" max="1065" width="10.42578125" style="105" customWidth="1"/>
    <col min="1066" max="1066" width="10.28515625" style="105" customWidth="1"/>
    <col min="1067" max="1067" width="11.42578125" style="105" customWidth="1"/>
    <col min="1068" max="1068" width="10.5703125" style="105" customWidth="1"/>
    <col min="1069" max="1069" width="10.42578125" style="105" customWidth="1"/>
    <col min="1070" max="1070" width="11.42578125" style="105" customWidth="1"/>
    <col min="1071" max="1071" width="11.5703125" style="105" customWidth="1"/>
    <col min="1072" max="1073" width="11.42578125" style="105" customWidth="1"/>
    <col min="1074" max="1074" width="11.140625" style="105" customWidth="1"/>
    <col min="1075" max="1076" width="17.7109375" style="105" customWidth="1"/>
    <col min="1077" max="1077" width="22.5703125" style="105" customWidth="1"/>
    <col min="1078" max="1279" width="11.42578125" style="105"/>
    <col min="1280" max="1280" width="15.42578125" style="105" bestFit="1" customWidth="1"/>
    <col min="1281" max="1281" width="19.140625" style="105" bestFit="1" customWidth="1"/>
    <col min="1282" max="1282" width="11.42578125" style="105"/>
    <col min="1283" max="1283" width="12.140625" style="105" bestFit="1" customWidth="1"/>
    <col min="1284" max="1284" width="16.85546875" style="105" bestFit="1" customWidth="1"/>
    <col min="1285" max="1285" width="8.7109375" style="105" bestFit="1" customWidth="1"/>
    <col min="1286" max="1286" width="11.42578125" style="105"/>
    <col min="1287" max="1287" width="14.85546875" style="105" customWidth="1"/>
    <col min="1288" max="1288" width="12" style="105" customWidth="1"/>
    <col min="1289" max="1289" width="17.85546875" style="105" customWidth="1"/>
    <col min="1290" max="1290" width="24" style="105" customWidth="1"/>
    <col min="1291" max="1291" width="27.5703125" style="105" customWidth="1"/>
    <col min="1292" max="1292" width="20.140625" style="105" customWidth="1"/>
    <col min="1293" max="1293" width="20" style="105" customWidth="1"/>
    <col min="1294" max="1294" width="10.5703125" style="105" customWidth="1"/>
    <col min="1295" max="1295" width="20.140625" style="105" customWidth="1"/>
    <col min="1296" max="1296" width="11.42578125" style="105" customWidth="1"/>
    <col min="1297" max="1297" width="19.42578125" style="105" customWidth="1"/>
    <col min="1298" max="1299" width="11.42578125" style="105" customWidth="1"/>
    <col min="1300" max="1300" width="11.140625" style="105" customWidth="1"/>
    <col min="1301" max="1301" width="10.42578125" style="105" customWidth="1"/>
    <col min="1302" max="1302" width="10.28515625" style="105" customWidth="1"/>
    <col min="1303" max="1303" width="11.42578125" style="105" customWidth="1"/>
    <col min="1304" max="1304" width="10.5703125" style="105" customWidth="1"/>
    <col min="1305" max="1305" width="10.42578125" style="105" customWidth="1"/>
    <col min="1306" max="1306" width="11.42578125" style="105" customWidth="1"/>
    <col min="1307" max="1307" width="11.5703125" style="105" customWidth="1"/>
    <col min="1308" max="1309" width="11.42578125" style="105" customWidth="1"/>
    <col min="1310" max="1310" width="11.140625" style="105" customWidth="1"/>
    <col min="1311" max="1311" width="10.42578125" style="105" customWidth="1"/>
    <col min="1312" max="1312" width="10.28515625" style="105" customWidth="1"/>
    <col min="1313" max="1313" width="11.42578125" style="105" customWidth="1"/>
    <col min="1314" max="1314" width="10.5703125" style="105" customWidth="1"/>
    <col min="1315" max="1315" width="10.42578125" style="105" customWidth="1"/>
    <col min="1316" max="1316" width="11.42578125" style="105" customWidth="1"/>
    <col min="1317" max="1317" width="11.5703125" style="105" customWidth="1"/>
    <col min="1318" max="1319" width="11.42578125" style="105" customWidth="1"/>
    <col min="1320" max="1320" width="11.140625" style="105" customWidth="1"/>
    <col min="1321" max="1321" width="10.42578125" style="105" customWidth="1"/>
    <col min="1322" max="1322" width="10.28515625" style="105" customWidth="1"/>
    <col min="1323" max="1323" width="11.42578125" style="105" customWidth="1"/>
    <col min="1324" max="1324" width="10.5703125" style="105" customWidth="1"/>
    <col min="1325" max="1325" width="10.42578125" style="105" customWidth="1"/>
    <col min="1326" max="1326" width="11.42578125" style="105" customWidth="1"/>
    <col min="1327" max="1327" width="11.5703125" style="105" customWidth="1"/>
    <col min="1328" max="1329" width="11.42578125" style="105" customWidth="1"/>
    <col min="1330" max="1330" width="11.140625" style="105" customWidth="1"/>
    <col min="1331" max="1332" width="17.7109375" style="105" customWidth="1"/>
    <col min="1333" max="1333" width="22.5703125" style="105" customWidth="1"/>
    <col min="1334" max="1535" width="11.42578125" style="105"/>
    <col min="1536" max="1536" width="15.42578125" style="105" bestFit="1" customWidth="1"/>
    <col min="1537" max="1537" width="19.140625" style="105" bestFit="1" customWidth="1"/>
    <col min="1538" max="1538" width="11.42578125" style="105"/>
    <col min="1539" max="1539" width="12.140625" style="105" bestFit="1" customWidth="1"/>
    <col min="1540" max="1540" width="16.85546875" style="105" bestFit="1" customWidth="1"/>
    <col min="1541" max="1541" width="8.7109375" style="105" bestFit="1" customWidth="1"/>
    <col min="1542" max="1542" width="11.42578125" style="105"/>
    <col min="1543" max="1543" width="14.85546875" style="105" customWidth="1"/>
    <col min="1544" max="1544" width="12" style="105" customWidth="1"/>
    <col min="1545" max="1545" width="17.85546875" style="105" customWidth="1"/>
    <col min="1546" max="1546" width="24" style="105" customWidth="1"/>
    <col min="1547" max="1547" width="27.5703125" style="105" customWidth="1"/>
    <col min="1548" max="1548" width="20.140625" style="105" customWidth="1"/>
    <col min="1549" max="1549" width="20" style="105" customWidth="1"/>
    <col min="1550" max="1550" width="10.5703125" style="105" customWidth="1"/>
    <col min="1551" max="1551" width="20.140625" style="105" customWidth="1"/>
    <col min="1552" max="1552" width="11.42578125" style="105" customWidth="1"/>
    <col min="1553" max="1553" width="19.42578125" style="105" customWidth="1"/>
    <col min="1554" max="1555" width="11.42578125" style="105" customWidth="1"/>
    <col min="1556" max="1556" width="11.140625" style="105" customWidth="1"/>
    <col min="1557" max="1557" width="10.42578125" style="105" customWidth="1"/>
    <col min="1558" max="1558" width="10.28515625" style="105" customWidth="1"/>
    <col min="1559" max="1559" width="11.42578125" style="105" customWidth="1"/>
    <col min="1560" max="1560" width="10.5703125" style="105" customWidth="1"/>
    <col min="1561" max="1561" width="10.42578125" style="105" customWidth="1"/>
    <col min="1562" max="1562" width="11.42578125" style="105" customWidth="1"/>
    <col min="1563" max="1563" width="11.5703125" style="105" customWidth="1"/>
    <col min="1564" max="1565" width="11.42578125" style="105" customWidth="1"/>
    <col min="1566" max="1566" width="11.140625" style="105" customWidth="1"/>
    <col min="1567" max="1567" width="10.42578125" style="105" customWidth="1"/>
    <col min="1568" max="1568" width="10.28515625" style="105" customWidth="1"/>
    <col min="1569" max="1569" width="11.42578125" style="105" customWidth="1"/>
    <col min="1570" max="1570" width="10.5703125" style="105" customWidth="1"/>
    <col min="1571" max="1571" width="10.42578125" style="105" customWidth="1"/>
    <col min="1572" max="1572" width="11.42578125" style="105" customWidth="1"/>
    <col min="1573" max="1573" width="11.5703125" style="105" customWidth="1"/>
    <col min="1574" max="1575" width="11.42578125" style="105" customWidth="1"/>
    <col min="1576" max="1576" width="11.140625" style="105" customWidth="1"/>
    <col min="1577" max="1577" width="10.42578125" style="105" customWidth="1"/>
    <col min="1578" max="1578" width="10.28515625" style="105" customWidth="1"/>
    <col min="1579" max="1579" width="11.42578125" style="105" customWidth="1"/>
    <col min="1580" max="1580" width="10.5703125" style="105" customWidth="1"/>
    <col min="1581" max="1581" width="10.42578125" style="105" customWidth="1"/>
    <col min="1582" max="1582" width="11.42578125" style="105" customWidth="1"/>
    <col min="1583" max="1583" width="11.5703125" style="105" customWidth="1"/>
    <col min="1584" max="1585" width="11.42578125" style="105" customWidth="1"/>
    <col min="1586" max="1586" width="11.140625" style="105" customWidth="1"/>
    <col min="1587" max="1588" width="17.7109375" style="105" customWidth="1"/>
    <col min="1589" max="1589" width="22.5703125" style="105" customWidth="1"/>
    <col min="1590" max="1791" width="11.42578125" style="105"/>
    <col min="1792" max="1792" width="15.42578125" style="105" bestFit="1" customWidth="1"/>
    <col min="1793" max="1793" width="19.140625" style="105" bestFit="1" customWidth="1"/>
    <col min="1794" max="1794" width="11.42578125" style="105"/>
    <col min="1795" max="1795" width="12.140625" style="105" bestFit="1" customWidth="1"/>
    <col min="1796" max="1796" width="16.85546875" style="105" bestFit="1" customWidth="1"/>
    <col min="1797" max="1797" width="8.7109375" style="105" bestFit="1" customWidth="1"/>
    <col min="1798" max="1798" width="11.42578125" style="105"/>
    <col min="1799" max="1799" width="14.85546875" style="105" customWidth="1"/>
    <col min="1800" max="1800" width="12" style="105" customWidth="1"/>
    <col min="1801" max="1801" width="17.85546875" style="105" customWidth="1"/>
    <col min="1802" max="1802" width="24" style="105" customWidth="1"/>
    <col min="1803" max="1803" width="27.5703125" style="105" customWidth="1"/>
    <col min="1804" max="1804" width="20.140625" style="105" customWidth="1"/>
    <col min="1805" max="1805" width="20" style="105" customWidth="1"/>
    <col min="1806" max="1806" width="10.5703125" style="105" customWidth="1"/>
    <col min="1807" max="1807" width="20.140625" style="105" customWidth="1"/>
    <col min="1808" max="1808" width="11.42578125" style="105" customWidth="1"/>
    <col min="1809" max="1809" width="19.42578125" style="105" customWidth="1"/>
    <col min="1810" max="1811" width="11.42578125" style="105" customWidth="1"/>
    <col min="1812" max="1812" width="11.140625" style="105" customWidth="1"/>
    <col min="1813" max="1813" width="10.42578125" style="105" customWidth="1"/>
    <col min="1814" max="1814" width="10.28515625" style="105" customWidth="1"/>
    <col min="1815" max="1815" width="11.42578125" style="105" customWidth="1"/>
    <col min="1816" max="1816" width="10.5703125" style="105" customWidth="1"/>
    <col min="1817" max="1817" width="10.42578125" style="105" customWidth="1"/>
    <col min="1818" max="1818" width="11.42578125" style="105" customWidth="1"/>
    <col min="1819" max="1819" width="11.5703125" style="105" customWidth="1"/>
    <col min="1820" max="1821" width="11.42578125" style="105" customWidth="1"/>
    <col min="1822" max="1822" width="11.140625" style="105" customWidth="1"/>
    <col min="1823" max="1823" width="10.42578125" style="105" customWidth="1"/>
    <col min="1824" max="1824" width="10.28515625" style="105" customWidth="1"/>
    <col min="1825" max="1825" width="11.42578125" style="105" customWidth="1"/>
    <col min="1826" max="1826" width="10.5703125" style="105" customWidth="1"/>
    <col min="1827" max="1827" width="10.42578125" style="105" customWidth="1"/>
    <col min="1828" max="1828" width="11.42578125" style="105" customWidth="1"/>
    <col min="1829" max="1829" width="11.5703125" style="105" customWidth="1"/>
    <col min="1830" max="1831" width="11.42578125" style="105" customWidth="1"/>
    <col min="1832" max="1832" width="11.140625" style="105" customWidth="1"/>
    <col min="1833" max="1833" width="10.42578125" style="105" customWidth="1"/>
    <col min="1834" max="1834" width="10.28515625" style="105" customWidth="1"/>
    <col min="1835" max="1835" width="11.42578125" style="105" customWidth="1"/>
    <col min="1836" max="1836" width="10.5703125" style="105" customWidth="1"/>
    <col min="1837" max="1837" width="10.42578125" style="105" customWidth="1"/>
    <col min="1838" max="1838" width="11.42578125" style="105" customWidth="1"/>
    <col min="1839" max="1839" width="11.5703125" style="105" customWidth="1"/>
    <col min="1840" max="1841" width="11.42578125" style="105" customWidth="1"/>
    <col min="1842" max="1842" width="11.140625" style="105" customWidth="1"/>
    <col min="1843" max="1844" width="17.7109375" style="105" customWidth="1"/>
    <col min="1845" max="1845" width="22.5703125" style="105" customWidth="1"/>
    <col min="1846" max="2047" width="11.42578125" style="105"/>
    <col min="2048" max="2048" width="15.42578125" style="105" bestFit="1" customWidth="1"/>
    <col min="2049" max="2049" width="19.140625" style="105" bestFit="1" customWidth="1"/>
    <col min="2050" max="2050" width="11.42578125" style="105"/>
    <col min="2051" max="2051" width="12.140625" style="105" bestFit="1" customWidth="1"/>
    <col min="2052" max="2052" width="16.85546875" style="105" bestFit="1" customWidth="1"/>
    <col min="2053" max="2053" width="8.7109375" style="105" bestFit="1" customWidth="1"/>
    <col min="2054" max="2054" width="11.42578125" style="105"/>
    <col min="2055" max="2055" width="14.85546875" style="105" customWidth="1"/>
    <col min="2056" max="2056" width="12" style="105" customWidth="1"/>
    <col min="2057" max="2057" width="17.85546875" style="105" customWidth="1"/>
    <col min="2058" max="2058" width="24" style="105" customWidth="1"/>
    <col min="2059" max="2059" width="27.5703125" style="105" customWidth="1"/>
    <col min="2060" max="2060" width="20.140625" style="105" customWidth="1"/>
    <col min="2061" max="2061" width="20" style="105" customWidth="1"/>
    <col min="2062" max="2062" width="10.5703125" style="105" customWidth="1"/>
    <col min="2063" max="2063" width="20.140625" style="105" customWidth="1"/>
    <col min="2064" max="2064" width="11.42578125" style="105" customWidth="1"/>
    <col min="2065" max="2065" width="19.42578125" style="105" customWidth="1"/>
    <col min="2066" max="2067" width="11.42578125" style="105" customWidth="1"/>
    <col min="2068" max="2068" width="11.140625" style="105" customWidth="1"/>
    <col min="2069" max="2069" width="10.42578125" style="105" customWidth="1"/>
    <col min="2070" max="2070" width="10.28515625" style="105" customWidth="1"/>
    <col min="2071" max="2071" width="11.42578125" style="105" customWidth="1"/>
    <col min="2072" max="2072" width="10.5703125" style="105" customWidth="1"/>
    <col min="2073" max="2073" width="10.42578125" style="105" customWidth="1"/>
    <col min="2074" max="2074" width="11.42578125" style="105" customWidth="1"/>
    <col min="2075" max="2075" width="11.5703125" style="105" customWidth="1"/>
    <col min="2076" max="2077" width="11.42578125" style="105" customWidth="1"/>
    <col min="2078" max="2078" width="11.140625" style="105" customWidth="1"/>
    <col min="2079" max="2079" width="10.42578125" style="105" customWidth="1"/>
    <col min="2080" max="2080" width="10.28515625" style="105" customWidth="1"/>
    <col min="2081" max="2081" width="11.42578125" style="105" customWidth="1"/>
    <col min="2082" max="2082" width="10.5703125" style="105" customWidth="1"/>
    <col min="2083" max="2083" width="10.42578125" style="105" customWidth="1"/>
    <col min="2084" max="2084" width="11.42578125" style="105" customWidth="1"/>
    <col min="2085" max="2085" width="11.5703125" style="105" customWidth="1"/>
    <col min="2086" max="2087" width="11.42578125" style="105" customWidth="1"/>
    <col min="2088" max="2088" width="11.140625" style="105" customWidth="1"/>
    <col min="2089" max="2089" width="10.42578125" style="105" customWidth="1"/>
    <col min="2090" max="2090" width="10.28515625" style="105" customWidth="1"/>
    <col min="2091" max="2091" width="11.42578125" style="105" customWidth="1"/>
    <col min="2092" max="2092" width="10.5703125" style="105" customWidth="1"/>
    <col min="2093" max="2093" width="10.42578125" style="105" customWidth="1"/>
    <col min="2094" max="2094" width="11.42578125" style="105" customWidth="1"/>
    <col min="2095" max="2095" width="11.5703125" style="105" customWidth="1"/>
    <col min="2096" max="2097" width="11.42578125" style="105" customWidth="1"/>
    <col min="2098" max="2098" width="11.140625" style="105" customWidth="1"/>
    <col min="2099" max="2100" width="17.7109375" style="105" customWidth="1"/>
    <col min="2101" max="2101" width="22.5703125" style="105" customWidth="1"/>
    <col min="2102" max="2303" width="11.42578125" style="105"/>
    <col min="2304" max="2304" width="15.42578125" style="105" bestFit="1" customWidth="1"/>
    <col min="2305" max="2305" width="19.140625" style="105" bestFit="1" customWidth="1"/>
    <col min="2306" max="2306" width="11.42578125" style="105"/>
    <col min="2307" max="2307" width="12.140625" style="105" bestFit="1" customWidth="1"/>
    <col min="2308" max="2308" width="16.85546875" style="105" bestFit="1" customWidth="1"/>
    <col min="2309" max="2309" width="8.7109375" style="105" bestFit="1" customWidth="1"/>
    <col min="2310" max="2310" width="11.42578125" style="105"/>
    <col min="2311" max="2311" width="14.85546875" style="105" customWidth="1"/>
    <col min="2312" max="2312" width="12" style="105" customWidth="1"/>
    <col min="2313" max="2313" width="17.85546875" style="105" customWidth="1"/>
    <col min="2314" max="2314" width="24" style="105" customWidth="1"/>
    <col min="2315" max="2315" width="27.5703125" style="105" customWidth="1"/>
    <col min="2316" max="2316" width="20.140625" style="105" customWidth="1"/>
    <col min="2317" max="2317" width="20" style="105" customWidth="1"/>
    <col min="2318" max="2318" width="10.5703125" style="105" customWidth="1"/>
    <col min="2319" max="2319" width="20.140625" style="105" customWidth="1"/>
    <col min="2320" max="2320" width="11.42578125" style="105" customWidth="1"/>
    <col min="2321" max="2321" width="19.42578125" style="105" customWidth="1"/>
    <col min="2322" max="2323" width="11.42578125" style="105" customWidth="1"/>
    <col min="2324" max="2324" width="11.140625" style="105" customWidth="1"/>
    <col min="2325" max="2325" width="10.42578125" style="105" customWidth="1"/>
    <col min="2326" max="2326" width="10.28515625" style="105" customWidth="1"/>
    <col min="2327" max="2327" width="11.42578125" style="105" customWidth="1"/>
    <col min="2328" max="2328" width="10.5703125" style="105" customWidth="1"/>
    <col min="2329" max="2329" width="10.42578125" style="105" customWidth="1"/>
    <col min="2330" max="2330" width="11.42578125" style="105" customWidth="1"/>
    <col min="2331" max="2331" width="11.5703125" style="105" customWidth="1"/>
    <col min="2332" max="2333" width="11.42578125" style="105" customWidth="1"/>
    <col min="2334" max="2334" width="11.140625" style="105" customWidth="1"/>
    <col min="2335" max="2335" width="10.42578125" style="105" customWidth="1"/>
    <col min="2336" max="2336" width="10.28515625" style="105" customWidth="1"/>
    <col min="2337" max="2337" width="11.42578125" style="105" customWidth="1"/>
    <col min="2338" max="2338" width="10.5703125" style="105" customWidth="1"/>
    <col min="2339" max="2339" width="10.42578125" style="105" customWidth="1"/>
    <col min="2340" max="2340" width="11.42578125" style="105" customWidth="1"/>
    <col min="2341" max="2341" width="11.5703125" style="105" customWidth="1"/>
    <col min="2342" max="2343" width="11.42578125" style="105" customWidth="1"/>
    <col min="2344" max="2344" width="11.140625" style="105" customWidth="1"/>
    <col min="2345" max="2345" width="10.42578125" style="105" customWidth="1"/>
    <col min="2346" max="2346" width="10.28515625" style="105" customWidth="1"/>
    <col min="2347" max="2347" width="11.42578125" style="105" customWidth="1"/>
    <col min="2348" max="2348" width="10.5703125" style="105" customWidth="1"/>
    <col min="2349" max="2349" width="10.42578125" style="105" customWidth="1"/>
    <col min="2350" max="2350" width="11.42578125" style="105" customWidth="1"/>
    <col min="2351" max="2351" width="11.5703125" style="105" customWidth="1"/>
    <col min="2352" max="2353" width="11.42578125" style="105" customWidth="1"/>
    <col min="2354" max="2354" width="11.140625" style="105" customWidth="1"/>
    <col min="2355" max="2356" width="17.7109375" style="105" customWidth="1"/>
    <col min="2357" max="2357" width="22.5703125" style="105" customWidth="1"/>
    <col min="2358" max="2559" width="11.42578125" style="105"/>
    <col min="2560" max="2560" width="15.42578125" style="105" bestFit="1" customWidth="1"/>
    <col min="2561" max="2561" width="19.140625" style="105" bestFit="1" customWidth="1"/>
    <col min="2562" max="2562" width="11.42578125" style="105"/>
    <col min="2563" max="2563" width="12.140625" style="105" bestFit="1" customWidth="1"/>
    <col min="2564" max="2564" width="16.85546875" style="105" bestFit="1" customWidth="1"/>
    <col min="2565" max="2565" width="8.7109375" style="105" bestFit="1" customWidth="1"/>
    <col min="2566" max="2566" width="11.42578125" style="105"/>
    <col min="2567" max="2567" width="14.85546875" style="105" customWidth="1"/>
    <col min="2568" max="2568" width="12" style="105" customWidth="1"/>
    <col min="2569" max="2569" width="17.85546875" style="105" customWidth="1"/>
    <col min="2570" max="2570" width="24" style="105" customWidth="1"/>
    <col min="2571" max="2571" width="27.5703125" style="105" customWidth="1"/>
    <col min="2572" max="2572" width="20.140625" style="105" customWidth="1"/>
    <col min="2573" max="2573" width="20" style="105" customWidth="1"/>
    <col min="2574" max="2574" width="10.5703125" style="105" customWidth="1"/>
    <col min="2575" max="2575" width="20.140625" style="105" customWidth="1"/>
    <col min="2576" max="2576" width="11.42578125" style="105" customWidth="1"/>
    <col min="2577" max="2577" width="19.42578125" style="105" customWidth="1"/>
    <col min="2578" max="2579" width="11.42578125" style="105" customWidth="1"/>
    <col min="2580" max="2580" width="11.140625" style="105" customWidth="1"/>
    <col min="2581" max="2581" width="10.42578125" style="105" customWidth="1"/>
    <col min="2582" max="2582" width="10.28515625" style="105" customWidth="1"/>
    <col min="2583" max="2583" width="11.42578125" style="105" customWidth="1"/>
    <col min="2584" max="2584" width="10.5703125" style="105" customWidth="1"/>
    <col min="2585" max="2585" width="10.42578125" style="105" customWidth="1"/>
    <col min="2586" max="2586" width="11.42578125" style="105" customWidth="1"/>
    <col min="2587" max="2587" width="11.5703125" style="105" customWidth="1"/>
    <col min="2588" max="2589" width="11.42578125" style="105" customWidth="1"/>
    <col min="2590" max="2590" width="11.140625" style="105" customWidth="1"/>
    <col min="2591" max="2591" width="10.42578125" style="105" customWidth="1"/>
    <col min="2592" max="2592" width="10.28515625" style="105" customWidth="1"/>
    <col min="2593" max="2593" width="11.42578125" style="105" customWidth="1"/>
    <col min="2594" max="2594" width="10.5703125" style="105" customWidth="1"/>
    <col min="2595" max="2595" width="10.42578125" style="105" customWidth="1"/>
    <col min="2596" max="2596" width="11.42578125" style="105" customWidth="1"/>
    <col min="2597" max="2597" width="11.5703125" style="105" customWidth="1"/>
    <col min="2598" max="2599" width="11.42578125" style="105" customWidth="1"/>
    <col min="2600" max="2600" width="11.140625" style="105" customWidth="1"/>
    <col min="2601" max="2601" width="10.42578125" style="105" customWidth="1"/>
    <col min="2602" max="2602" width="10.28515625" style="105" customWidth="1"/>
    <col min="2603" max="2603" width="11.42578125" style="105" customWidth="1"/>
    <col min="2604" max="2604" width="10.5703125" style="105" customWidth="1"/>
    <col min="2605" max="2605" width="10.42578125" style="105" customWidth="1"/>
    <col min="2606" max="2606" width="11.42578125" style="105" customWidth="1"/>
    <col min="2607" max="2607" width="11.5703125" style="105" customWidth="1"/>
    <col min="2608" max="2609" width="11.42578125" style="105" customWidth="1"/>
    <col min="2610" max="2610" width="11.140625" style="105" customWidth="1"/>
    <col min="2611" max="2612" width="17.7109375" style="105" customWidth="1"/>
    <col min="2613" max="2613" width="22.5703125" style="105" customWidth="1"/>
    <col min="2614" max="2815" width="11.42578125" style="105"/>
    <col min="2816" max="2816" width="15.42578125" style="105" bestFit="1" customWidth="1"/>
    <col min="2817" max="2817" width="19.140625" style="105" bestFit="1" customWidth="1"/>
    <col min="2818" max="2818" width="11.42578125" style="105"/>
    <col min="2819" max="2819" width="12.140625" style="105" bestFit="1" customWidth="1"/>
    <col min="2820" max="2820" width="16.85546875" style="105" bestFit="1" customWidth="1"/>
    <col min="2821" max="2821" width="8.7109375" style="105" bestFit="1" customWidth="1"/>
    <col min="2822" max="2822" width="11.42578125" style="105"/>
    <col min="2823" max="2823" width="14.85546875" style="105" customWidth="1"/>
    <col min="2824" max="2824" width="12" style="105" customWidth="1"/>
    <col min="2825" max="2825" width="17.85546875" style="105" customWidth="1"/>
    <col min="2826" max="2826" width="24" style="105" customWidth="1"/>
    <col min="2827" max="2827" width="27.5703125" style="105" customWidth="1"/>
    <col min="2828" max="2828" width="20.140625" style="105" customWidth="1"/>
    <col min="2829" max="2829" width="20" style="105" customWidth="1"/>
    <col min="2830" max="2830" width="10.5703125" style="105" customWidth="1"/>
    <col min="2831" max="2831" width="20.140625" style="105" customWidth="1"/>
    <col min="2832" max="2832" width="11.42578125" style="105" customWidth="1"/>
    <col min="2833" max="2833" width="19.42578125" style="105" customWidth="1"/>
    <col min="2834" max="2835" width="11.42578125" style="105" customWidth="1"/>
    <col min="2836" max="2836" width="11.140625" style="105" customWidth="1"/>
    <col min="2837" max="2837" width="10.42578125" style="105" customWidth="1"/>
    <col min="2838" max="2838" width="10.28515625" style="105" customWidth="1"/>
    <col min="2839" max="2839" width="11.42578125" style="105" customWidth="1"/>
    <col min="2840" max="2840" width="10.5703125" style="105" customWidth="1"/>
    <col min="2841" max="2841" width="10.42578125" style="105" customWidth="1"/>
    <col min="2842" max="2842" width="11.42578125" style="105" customWidth="1"/>
    <col min="2843" max="2843" width="11.5703125" style="105" customWidth="1"/>
    <col min="2844" max="2845" width="11.42578125" style="105" customWidth="1"/>
    <col min="2846" max="2846" width="11.140625" style="105" customWidth="1"/>
    <col min="2847" max="2847" width="10.42578125" style="105" customWidth="1"/>
    <col min="2848" max="2848" width="10.28515625" style="105" customWidth="1"/>
    <col min="2849" max="2849" width="11.42578125" style="105" customWidth="1"/>
    <col min="2850" max="2850" width="10.5703125" style="105" customWidth="1"/>
    <col min="2851" max="2851" width="10.42578125" style="105" customWidth="1"/>
    <col min="2852" max="2852" width="11.42578125" style="105" customWidth="1"/>
    <col min="2853" max="2853" width="11.5703125" style="105" customWidth="1"/>
    <col min="2854" max="2855" width="11.42578125" style="105" customWidth="1"/>
    <col min="2856" max="2856" width="11.140625" style="105" customWidth="1"/>
    <col min="2857" max="2857" width="10.42578125" style="105" customWidth="1"/>
    <col min="2858" max="2858" width="10.28515625" style="105" customWidth="1"/>
    <col min="2859" max="2859" width="11.42578125" style="105" customWidth="1"/>
    <col min="2860" max="2860" width="10.5703125" style="105" customWidth="1"/>
    <col min="2861" max="2861" width="10.42578125" style="105" customWidth="1"/>
    <col min="2862" max="2862" width="11.42578125" style="105" customWidth="1"/>
    <col min="2863" max="2863" width="11.5703125" style="105" customWidth="1"/>
    <col min="2864" max="2865" width="11.42578125" style="105" customWidth="1"/>
    <col min="2866" max="2866" width="11.140625" style="105" customWidth="1"/>
    <col min="2867" max="2868" width="17.7109375" style="105" customWidth="1"/>
    <col min="2869" max="2869" width="22.5703125" style="105" customWidth="1"/>
    <col min="2870" max="3071" width="11.42578125" style="105"/>
    <col min="3072" max="3072" width="15.42578125" style="105" bestFit="1" customWidth="1"/>
    <col min="3073" max="3073" width="19.140625" style="105" bestFit="1" customWidth="1"/>
    <col min="3074" max="3074" width="11.42578125" style="105"/>
    <col min="3075" max="3075" width="12.140625" style="105" bestFit="1" customWidth="1"/>
    <col min="3076" max="3076" width="16.85546875" style="105" bestFit="1" customWidth="1"/>
    <col min="3077" max="3077" width="8.7109375" style="105" bestFit="1" customWidth="1"/>
    <col min="3078" max="3078" width="11.42578125" style="105"/>
    <col min="3079" max="3079" width="14.85546875" style="105" customWidth="1"/>
    <col min="3080" max="3080" width="12" style="105" customWidth="1"/>
    <col min="3081" max="3081" width="17.85546875" style="105" customWidth="1"/>
    <col min="3082" max="3082" width="24" style="105" customWidth="1"/>
    <col min="3083" max="3083" width="27.5703125" style="105" customWidth="1"/>
    <col min="3084" max="3084" width="20.140625" style="105" customWidth="1"/>
    <col min="3085" max="3085" width="20" style="105" customWidth="1"/>
    <col min="3086" max="3086" width="10.5703125" style="105" customWidth="1"/>
    <col min="3087" max="3087" width="20.140625" style="105" customWidth="1"/>
    <col min="3088" max="3088" width="11.42578125" style="105" customWidth="1"/>
    <col min="3089" max="3089" width="19.42578125" style="105" customWidth="1"/>
    <col min="3090" max="3091" width="11.42578125" style="105" customWidth="1"/>
    <col min="3092" max="3092" width="11.140625" style="105" customWidth="1"/>
    <col min="3093" max="3093" width="10.42578125" style="105" customWidth="1"/>
    <col min="3094" max="3094" width="10.28515625" style="105" customWidth="1"/>
    <col min="3095" max="3095" width="11.42578125" style="105" customWidth="1"/>
    <col min="3096" max="3096" width="10.5703125" style="105" customWidth="1"/>
    <col min="3097" max="3097" width="10.42578125" style="105" customWidth="1"/>
    <col min="3098" max="3098" width="11.42578125" style="105" customWidth="1"/>
    <col min="3099" max="3099" width="11.5703125" style="105" customWidth="1"/>
    <col min="3100" max="3101" width="11.42578125" style="105" customWidth="1"/>
    <col min="3102" max="3102" width="11.140625" style="105" customWidth="1"/>
    <col min="3103" max="3103" width="10.42578125" style="105" customWidth="1"/>
    <col min="3104" max="3104" width="10.28515625" style="105" customWidth="1"/>
    <col min="3105" max="3105" width="11.42578125" style="105" customWidth="1"/>
    <col min="3106" max="3106" width="10.5703125" style="105" customWidth="1"/>
    <col min="3107" max="3107" width="10.42578125" style="105" customWidth="1"/>
    <col min="3108" max="3108" width="11.42578125" style="105" customWidth="1"/>
    <col min="3109" max="3109" width="11.5703125" style="105" customWidth="1"/>
    <col min="3110" max="3111" width="11.42578125" style="105" customWidth="1"/>
    <col min="3112" max="3112" width="11.140625" style="105" customWidth="1"/>
    <col min="3113" max="3113" width="10.42578125" style="105" customWidth="1"/>
    <col min="3114" max="3114" width="10.28515625" style="105" customWidth="1"/>
    <col min="3115" max="3115" width="11.42578125" style="105" customWidth="1"/>
    <col min="3116" max="3116" width="10.5703125" style="105" customWidth="1"/>
    <col min="3117" max="3117" width="10.42578125" style="105" customWidth="1"/>
    <col min="3118" max="3118" width="11.42578125" style="105" customWidth="1"/>
    <col min="3119" max="3119" width="11.5703125" style="105" customWidth="1"/>
    <col min="3120" max="3121" width="11.42578125" style="105" customWidth="1"/>
    <col min="3122" max="3122" width="11.140625" style="105" customWidth="1"/>
    <col min="3123" max="3124" width="17.7109375" style="105" customWidth="1"/>
    <col min="3125" max="3125" width="22.5703125" style="105" customWidth="1"/>
    <col min="3126" max="3327" width="11.42578125" style="105"/>
    <col min="3328" max="3328" width="15.42578125" style="105" bestFit="1" customWidth="1"/>
    <col min="3329" max="3329" width="19.140625" style="105" bestFit="1" customWidth="1"/>
    <col min="3330" max="3330" width="11.42578125" style="105"/>
    <col min="3331" max="3331" width="12.140625" style="105" bestFit="1" customWidth="1"/>
    <col min="3332" max="3332" width="16.85546875" style="105" bestFit="1" customWidth="1"/>
    <col min="3333" max="3333" width="8.7109375" style="105" bestFit="1" customWidth="1"/>
    <col min="3334" max="3334" width="11.42578125" style="105"/>
    <col min="3335" max="3335" width="14.85546875" style="105" customWidth="1"/>
    <col min="3336" max="3336" width="12" style="105" customWidth="1"/>
    <col min="3337" max="3337" width="17.85546875" style="105" customWidth="1"/>
    <col min="3338" max="3338" width="24" style="105" customWidth="1"/>
    <col min="3339" max="3339" width="27.5703125" style="105" customWidth="1"/>
    <col min="3340" max="3340" width="20.140625" style="105" customWidth="1"/>
    <col min="3341" max="3341" width="20" style="105" customWidth="1"/>
    <col min="3342" max="3342" width="10.5703125" style="105" customWidth="1"/>
    <col min="3343" max="3343" width="20.140625" style="105" customWidth="1"/>
    <col min="3344" max="3344" width="11.42578125" style="105" customWidth="1"/>
    <col min="3345" max="3345" width="19.42578125" style="105" customWidth="1"/>
    <col min="3346" max="3347" width="11.42578125" style="105" customWidth="1"/>
    <col min="3348" max="3348" width="11.140625" style="105" customWidth="1"/>
    <col min="3349" max="3349" width="10.42578125" style="105" customWidth="1"/>
    <col min="3350" max="3350" width="10.28515625" style="105" customWidth="1"/>
    <col min="3351" max="3351" width="11.42578125" style="105" customWidth="1"/>
    <col min="3352" max="3352" width="10.5703125" style="105" customWidth="1"/>
    <col min="3353" max="3353" width="10.42578125" style="105" customWidth="1"/>
    <col min="3354" max="3354" width="11.42578125" style="105" customWidth="1"/>
    <col min="3355" max="3355" width="11.5703125" style="105" customWidth="1"/>
    <col min="3356" max="3357" width="11.42578125" style="105" customWidth="1"/>
    <col min="3358" max="3358" width="11.140625" style="105" customWidth="1"/>
    <col min="3359" max="3359" width="10.42578125" style="105" customWidth="1"/>
    <col min="3360" max="3360" width="10.28515625" style="105" customWidth="1"/>
    <col min="3361" max="3361" width="11.42578125" style="105" customWidth="1"/>
    <col min="3362" max="3362" width="10.5703125" style="105" customWidth="1"/>
    <col min="3363" max="3363" width="10.42578125" style="105" customWidth="1"/>
    <col min="3364" max="3364" width="11.42578125" style="105" customWidth="1"/>
    <col min="3365" max="3365" width="11.5703125" style="105" customWidth="1"/>
    <col min="3366" max="3367" width="11.42578125" style="105" customWidth="1"/>
    <col min="3368" max="3368" width="11.140625" style="105" customWidth="1"/>
    <col min="3369" max="3369" width="10.42578125" style="105" customWidth="1"/>
    <col min="3370" max="3370" width="10.28515625" style="105" customWidth="1"/>
    <col min="3371" max="3371" width="11.42578125" style="105" customWidth="1"/>
    <col min="3372" max="3372" width="10.5703125" style="105" customWidth="1"/>
    <col min="3373" max="3373" width="10.42578125" style="105" customWidth="1"/>
    <col min="3374" max="3374" width="11.42578125" style="105" customWidth="1"/>
    <col min="3375" max="3375" width="11.5703125" style="105" customWidth="1"/>
    <col min="3376" max="3377" width="11.42578125" style="105" customWidth="1"/>
    <col min="3378" max="3378" width="11.140625" style="105" customWidth="1"/>
    <col min="3379" max="3380" width="17.7109375" style="105" customWidth="1"/>
    <col min="3381" max="3381" width="22.5703125" style="105" customWidth="1"/>
    <col min="3382" max="3583" width="11.42578125" style="105"/>
    <col min="3584" max="3584" width="15.42578125" style="105" bestFit="1" customWidth="1"/>
    <col min="3585" max="3585" width="19.140625" style="105" bestFit="1" customWidth="1"/>
    <col min="3586" max="3586" width="11.42578125" style="105"/>
    <col min="3587" max="3587" width="12.140625" style="105" bestFit="1" customWidth="1"/>
    <col min="3588" max="3588" width="16.85546875" style="105" bestFit="1" customWidth="1"/>
    <col min="3589" max="3589" width="8.7109375" style="105" bestFit="1" customWidth="1"/>
    <col min="3590" max="3590" width="11.42578125" style="105"/>
    <col min="3591" max="3591" width="14.85546875" style="105" customWidth="1"/>
    <col min="3592" max="3592" width="12" style="105" customWidth="1"/>
    <col min="3593" max="3593" width="17.85546875" style="105" customWidth="1"/>
    <col min="3594" max="3594" width="24" style="105" customWidth="1"/>
    <col min="3595" max="3595" width="27.5703125" style="105" customWidth="1"/>
    <col min="3596" max="3596" width="20.140625" style="105" customWidth="1"/>
    <col min="3597" max="3597" width="20" style="105" customWidth="1"/>
    <col min="3598" max="3598" width="10.5703125" style="105" customWidth="1"/>
    <col min="3599" max="3599" width="20.140625" style="105" customWidth="1"/>
    <col min="3600" max="3600" width="11.42578125" style="105" customWidth="1"/>
    <col min="3601" max="3601" width="19.42578125" style="105" customWidth="1"/>
    <col min="3602" max="3603" width="11.42578125" style="105" customWidth="1"/>
    <col min="3604" max="3604" width="11.140625" style="105" customWidth="1"/>
    <col min="3605" max="3605" width="10.42578125" style="105" customWidth="1"/>
    <col min="3606" max="3606" width="10.28515625" style="105" customWidth="1"/>
    <col min="3607" max="3607" width="11.42578125" style="105" customWidth="1"/>
    <col min="3608" max="3608" width="10.5703125" style="105" customWidth="1"/>
    <col min="3609" max="3609" width="10.42578125" style="105" customWidth="1"/>
    <col min="3610" max="3610" width="11.42578125" style="105" customWidth="1"/>
    <col min="3611" max="3611" width="11.5703125" style="105" customWidth="1"/>
    <col min="3612" max="3613" width="11.42578125" style="105" customWidth="1"/>
    <col min="3614" max="3614" width="11.140625" style="105" customWidth="1"/>
    <col min="3615" max="3615" width="10.42578125" style="105" customWidth="1"/>
    <col min="3616" max="3616" width="10.28515625" style="105" customWidth="1"/>
    <col min="3617" max="3617" width="11.42578125" style="105" customWidth="1"/>
    <col min="3618" max="3618" width="10.5703125" style="105" customWidth="1"/>
    <col min="3619" max="3619" width="10.42578125" style="105" customWidth="1"/>
    <col min="3620" max="3620" width="11.42578125" style="105" customWidth="1"/>
    <col min="3621" max="3621" width="11.5703125" style="105" customWidth="1"/>
    <col min="3622" max="3623" width="11.42578125" style="105" customWidth="1"/>
    <col min="3624" max="3624" width="11.140625" style="105" customWidth="1"/>
    <col min="3625" max="3625" width="10.42578125" style="105" customWidth="1"/>
    <col min="3626" max="3626" width="10.28515625" style="105" customWidth="1"/>
    <col min="3627" max="3627" width="11.42578125" style="105" customWidth="1"/>
    <col min="3628" max="3628" width="10.5703125" style="105" customWidth="1"/>
    <col min="3629" max="3629" width="10.42578125" style="105" customWidth="1"/>
    <col min="3630" max="3630" width="11.42578125" style="105" customWidth="1"/>
    <col min="3631" max="3631" width="11.5703125" style="105" customWidth="1"/>
    <col min="3632" max="3633" width="11.42578125" style="105" customWidth="1"/>
    <col min="3634" max="3634" width="11.140625" style="105" customWidth="1"/>
    <col min="3635" max="3636" width="17.7109375" style="105" customWidth="1"/>
    <col min="3637" max="3637" width="22.5703125" style="105" customWidth="1"/>
    <col min="3638" max="3839" width="11.42578125" style="105"/>
    <col min="3840" max="3840" width="15.42578125" style="105" bestFit="1" customWidth="1"/>
    <col min="3841" max="3841" width="19.140625" style="105" bestFit="1" customWidth="1"/>
    <col min="3842" max="3842" width="11.42578125" style="105"/>
    <col min="3843" max="3843" width="12.140625" style="105" bestFit="1" customWidth="1"/>
    <col min="3844" max="3844" width="16.85546875" style="105" bestFit="1" customWidth="1"/>
    <col min="3845" max="3845" width="8.7109375" style="105" bestFit="1" customWidth="1"/>
    <col min="3846" max="3846" width="11.42578125" style="105"/>
    <col min="3847" max="3847" width="14.85546875" style="105" customWidth="1"/>
    <col min="3848" max="3848" width="12" style="105" customWidth="1"/>
    <col min="3849" max="3849" width="17.85546875" style="105" customWidth="1"/>
    <col min="3850" max="3850" width="24" style="105" customWidth="1"/>
    <col min="3851" max="3851" width="27.5703125" style="105" customWidth="1"/>
    <col min="3852" max="3852" width="20.140625" style="105" customWidth="1"/>
    <col min="3853" max="3853" width="20" style="105" customWidth="1"/>
    <col min="3854" max="3854" width="10.5703125" style="105" customWidth="1"/>
    <col min="3855" max="3855" width="20.140625" style="105" customWidth="1"/>
    <col min="3856" max="3856" width="11.42578125" style="105" customWidth="1"/>
    <col min="3857" max="3857" width="19.42578125" style="105" customWidth="1"/>
    <col min="3858" max="3859" width="11.42578125" style="105" customWidth="1"/>
    <col min="3860" max="3860" width="11.140625" style="105" customWidth="1"/>
    <col min="3861" max="3861" width="10.42578125" style="105" customWidth="1"/>
    <col min="3862" max="3862" width="10.28515625" style="105" customWidth="1"/>
    <col min="3863" max="3863" width="11.42578125" style="105" customWidth="1"/>
    <col min="3864" max="3864" width="10.5703125" style="105" customWidth="1"/>
    <col min="3865" max="3865" width="10.42578125" style="105" customWidth="1"/>
    <col min="3866" max="3866" width="11.42578125" style="105" customWidth="1"/>
    <col min="3867" max="3867" width="11.5703125" style="105" customWidth="1"/>
    <col min="3868" max="3869" width="11.42578125" style="105" customWidth="1"/>
    <col min="3870" max="3870" width="11.140625" style="105" customWidth="1"/>
    <col min="3871" max="3871" width="10.42578125" style="105" customWidth="1"/>
    <col min="3872" max="3872" width="10.28515625" style="105" customWidth="1"/>
    <col min="3873" max="3873" width="11.42578125" style="105" customWidth="1"/>
    <col min="3874" max="3874" width="10.5703125" style="105" customWidth="1"/>
    <col min="3875" max="3875" width="10.42578125" style="105" customWidth="1"/>
    <col min="3876" max="3876" width="11.42578125" style="105" customWidth="1"/>
    <col min="3877" max="3877" width="11.5703125" style="105" customWidth="1"/>
    <col min="3878" max="3879" width="11.42578125" style="105" customWidth="1"/>
    <col min="3880" max="3880" width="11.140625" style="105" customWidth="1"/>
    <col min="3881" max="3881" width="10.42578125" style="105" customWidth="1"/>
    <col min="3882" max="3882" width="10.28515625" style="105" customWidth="1"/>
    <col min="3883" max="3883" width="11.42578125" style="105" customWidth="1"/>
    <col min="3884" max="3884" width="10.5703125" style="105" customWidth="1"/>
    <col min="3885" max="3885" width="10.42578125" style="105" customWidth="1"/>
    <col min="3886" max="3886" width="11.42578125" style="105" customWidth="1"/>
    <col min="3887" max="3887" width="11.5703125" style="105" customWidth="1"/>
    <col min="3888" max="3889" width="11.42578125" style="105" customWidth="1"/>
    <col min="3890" max="3890" width="11.140625" style="105" customWidth="1"/>
    <col min="3891" max="3892" width="17.7109375" style="105" customWidth="1"/>
    <col min="3893" max="3893" width="22.5703125" style="105" customWidth="1"/>
    <col min="3894" max="4095" width="11.42578125" style="105"/>
    <col min="4096" max="4096" width="15.42578125" style="105" bestFit="1" customWidth="1"/>
    <col min="4097" max="4097" width="19.140625" style="105" bestFit="1" customWidth="1"/>
    <col min="4098" max="4098" width="11.42578125" style="105"/>
    <col min="4099" max="4099" width="12.140625" style="105" bestFit="1" customWidth="1"/>
    <col min="4100" max="4100" width="16.85546875" style="105" bestFit="1" customWidth="1"/>
    <col min="4101" max="4101" width="8.7109375" style="105" bestFit="1" customWidth="1"/>
    <col min="4102" max="4102" width="11.42578125" style="105"/>
    <col min="4103" max="4103" width="14.85546875" style="105" customWidth="1"/>
    <col min="4104" max="4104" width="12" style="105" customWidth="1"/>
    <col min="4105" max="4105" width="17.85546875" style="105" customWidth="1"/>
    <col min="4106" max="4106" width="24" style="105" customWidth="1"/>
    <col min="4107" max="4107" width="27.5703125" style="105" customWidth="1"/>
    <col min="4108" max="4108" width="20.140625" style="105" customWidth="1"/>
    <col min="4109" max="4109" width="20" style="105" customWidth="1"/>
    <col min="4110" max="4110" width="10.5703125" style="105" customWidth="1"/>
    <col min="4111" max="4111" width="20.140625" style="105" customWidth="1"/>
    <col min="4112" max="4112" width="11.42578125" style="105" customWidth="1"/>
    <col min="4113" max="4113" width="19.42578125" style="105" customWidth="1"/>
    <col min="4114" max="4115" width="11.42578125" style="105" customWidth="1"/>
    <col min="4116" max="4116" width="11.140625" style="105" customWidth="1"/>
    <col min="4117" max="4117" width="10.42578125" style="105" customWidth="1"/>
    <col min="4118" max="4118" width="10.28515625" style="105" customWidth="1"/>
    <col min="4119" max="4119" width="11.42578125" style="105" customWidth="1"/>
    <col min="4120" max="4120" width="10.5703125" style="105" customWidth="1"/>
    <col min="4121" max="4121" width="10.42578125" style="105" customWidth="1"/>
    <col min="4122" max="4122" width="11.42578125" style="105" customWidth="1"/>
    <col min="4123" max="4123" width="11.5703125" style="105" customWidth="1"/>
    <col min="4124" max="4125" width="11.42578125" style="105" customWidth="1"/>
    <col min="4126" max="4126" width="11.140625" style="105" customWidth="1"/>
    <col min="4127" max="4127" width="10.42578125" style="105" customWidth="1"/>
    <col min="4128" max="4128" width="10.28515625" style="105" customWidth="1"/>
    <col min="4129" max="4129" width="11.42578125" style="105" customWidth="1"/>
    <col min="4130" max="4130" width="10.5703125" style="105" customWidth="1"/>
    <col min="4131" max="4131" width="10.42578125" style="105" customWidth="1"/>
    <col min="4132" max="4132" width="11.42578125" style="105" customWidth="1"/>
    <col min="4133" max="4133" width="11.5703125" style="105" customWidth="1"/>
    <col min="4134" max="4135" width="11.42578125" style="105" customWidth="1"/>
    <col min="4136" max="4136" width="11.140625" style="105" customWidth="1"/>
    <col min="4137" max="4137" width="10.42578125" style="105" customWidth="1"/>
    <col min="4138" max="4138" width="10.28515625" style="105" customWidth="1"/>
    <col min="4139" max="4139" width="11.42578125" style="105" customWidth="1"/>
    <col min="4140" max="4140" width="10.5703125" style="105" customWidth="1"/>
    <col min="4141" max="4141" width="10.42578125" style="105" customWidth="1"/>
    <col min="4142" max="4142" width="11.42578125" style="105" customWidth="1"/>
    <col min="4143" max="4143" width="11.5703125" style="105" customWidth="1"/>
    <col min="4144" max="4145" width="11.42578125" style="105" customWidth="1"/>
    <col min="4146" max="4146" width="11.140625" style="105" customWidth="1"/>
    <col min="4147" max="4148" width="17.7109375" style="105" customWidth="1"/>
    <col min="4149" max="4149" width="22.5703125" style="105" customWidth="1"/>
    <col min="4150" max="4351" width="11.42578125" style="105"/>
    <col min="4352" max="4352" width="15.42578125" style="105" bestFit="1" customWidth="1"/>
    <col min="4353" max="4353" width="19.140625" style="105" bestFit="1" customWidth="1"/>
    <col min="4354" max="4354" width="11.42578125" style="105"/>
    <col min="4355" max="4355" width="12.140625" style="105" bestFit="1" customWidth="1"/>
    <col min="4356" max="4356" width="16.85546875" style="105" bestFit="1" customWidth="1"/>
    <col min="4357" max="4357" width="8.7109375" style="105" bestFit="1" customWidth="1"/>
    <col min="4358" max="4358" width="11.42578125" style="105"/>
    <col min="4359" max="4359" width="14.85546875" style="105" customWidth="1"/>
    <col min="4360" max="4360" width="12" style="105" customWidth="1"/>
    <col min="4361" max="4361" width="17.85546875" style="105" customWidth="1"/>
    <col min="4362" max="4362" width="24" style="105" customWidth="1"/>
    <col min="4363" max="4363" width="27.5703125" style="105" customWidth="1"/>
    <col min="4364" max="4364" width="20.140625" style="105" customWidth="1"/>
    <col min="4365" max="4365" width="20" style="105" customWidth="1"/>
    <col min="4366" max="4366" width="10.5703125" style="105" customWidth="1"/>
    <col min="4367" max="4367" width="20.140625" style="105" customWidth="1"/>
    <col min="4368" max="4368" width="11.42578125" style="105" customWidth="1"/>
    <col min="4369" max="4369" width="19.42578125" style="105" customWidth="1"/>
    <col min="4370" max="4371" width="11.42578125" style="105" customWidth="1"/>
    <col min="4372" max="4372" width="11.140625" style="105" customWidth="1"/>
    <col min="4373" max="4373" width="10.42578125" style="105" customWidth="1"/>
    <col min="4374" max="4374" width="10.28515625" style="105" customWidth="1"/>
    <col min="4375" max="4375" width="11.42578125" style="105" customWidth="1"/>
    <col min="4376" max="4376" width="10.5703125" style="105" customWidth="1"/>
    <col min="4377" max="4377" width="10.42578125" style="105" customWidth="1"/>
    <col min="4378" max="4378" width="11.42578125" style="105" customWidth="1"/>
    <col min="4379" max="4379" width="11.5703125" style="105" customWidth="1"/>
    <col min="4380" max="4381" width="11.42578125" style="105" customWidth="1"/>
    <col min="4382" max="4382" width="11.140625" style="105" customWidth="1"/>
    <col min="4383" max="4383" width="10.42578125" style="105" customWidth="1"/>
    <col min="4384" max="4384" width="10.28515625" style="105" customWidth="1"/>
    <col min="4385" max="4385" width="11.42578125" style="105" customWidth="1"/>
    <col min="4386" max="4386" width="10.5703125" style="105" customWidth="1"/>
    <col min="4387" max="4387" width="10.42578125" style="105" customWidth="1"/>
    <col min="4388" max="4388" width="11.42578125" style="105" customWidth="1"/>
    <col min="4389" max="4389" width="11.5703125" style="105" customWidth="1"/>
    <col min="4390" max="4391" width="11.42578125" style="105" customWidth="1"/>
    <col min="4392" max="4392" width="11.140625" style="105" customWidth="1"/>
    <col min="4393" max="4393" width="10.42578125" style="105" customWidth="1"/>
    <col min="4394" max="4394" width="10.28515625" style="105" customWidth="1"/>
    <col min="4395" max="4395" width="11.42578125" style="105" customWidth="1"/>
    <col min="4396" max="4396" width="10.5703125" style="105" customWidth="1"/>
    <col min="4397" max="4397" width="10.42578125" style="105" customWidth="1"/>
    <col min="4398" max="4398" width="11.42578125" style="105" customWidth="1"/>
    <col min="4399" max="4399" width="11.5703125" style="105" customWidth="1"/>
    <col min="4400" max="4401" width="11.42578125" style="105" customWidth="1"/>
    <col min="4402" max="4402" width="11.140625" style="105" customWidth="1"/>
    <col min="4403" max="4404" width="17.7109375" style="105" customWidth="1"/>
    <col min="4405" max="4405" width="22.5703125" style="105" customWidth="1"/>
    <col min="4406" max="4607" width="11.42578125" style="105"/>
    <col min="4608" max="4608" width="15.42578125" style="105" bestFit="1" customWidth="1"/>
    <col min="4609" max="4609" width="19.140625" style="105" bestFit="1" customWidth="1"/>
    <col min="4610" max="4610" width="11.42578125" style="105"/>
    <col min="4611" max="4611" width="12.140625" style="105" bestFit="1" customWidth="1"/>
    <col min="4612" max="4612" width="16.85546875" style="105" bestFit="1" customWidth="1"/>
    <col min="4613" max="4613" width="8.7109375" style="105" bestFit="1" customWidth="1"/>
    <col min="4614" max="4614" width="11.42578125" style="105"/>
    <col min="4615" max="4615" width="14.85546875" style="105" customWidth="1"/>
    <col min="4616" max="4616" width="12" style="105" customWidth="1"/>
    <col min="4617" max="4617" width="17.85546875" style="105" customWidth="1"/>
    <col min="4618" max="4618" width="24" style="105" customWidth="1"/>
    <col min="4619" max="4619" width="27.5703125" style="105" customWidth="1"/>
    <col min="4620" max="4620" width="20.140625" style="105" customWidth="1"/>
    <col min="4621" max="4621" width="20" style="105" customWidth="1"/>
    <col min="4622" max="4622" width="10.5703125" style="105" customWidth="1"/>
    <col min="4623" max="4623" width="20.140625" style="105" customWidth="1"/>
    <col min="4624" max="4624" width="11.42578125" style="105" customWidth="1"/>
    <col min="4625" max="4625" width="19.42578125" style="105" customWidth="1"/>
    <col min="4626" max="4627" width="11.42578125" style="105" customWidth="1"/>
    <col min="4628" max="4628" width="11.140625" style="105" customWidth="1"/>
    <col min="4629" max="4629" width="10.42578125" style="105" customWidth="1"/>
    <col min="4630" max="4630" width="10.28515625" style="105" customWidth="1"/>
    <col min="4631" max="4631" width="11.42578125" style="105" customWidth="1"/>
    <col min="4632" max="4632" width="10.5703125" style="105" customWidth="1"/>
    <col min="4633" max="4633" width="10.42578125" style="105" customWidth="1"/>
    <col min="4634" max="4634" width="11.42578125" style="105" customWidth="1"/>
    <col min="4635" max="4635" width="11.5703125" style="105" customWidth="1"/>
    <col min="4636" max="4637" width="11.42578125" style="105" customWidth="1"/>
    <col min="4638" max="4638" width="11.140625" style="105" customWidth="1"/>
    <col min="4639" max="4639" width="10.42578125" style="105" customWidth="1"/>
    <col min="4640" max="4640" width="10.28515625" style="105" customWidth="1"/>
    <col min="4641" max="4641" width="11.42578125" style="105" customWidth="1"/>
    <col min="4642" max="4642" width="10.5703125" style="105" customWidth="1"/>
    <col min="4643" max="4643" width="10.42578125" style="105" customWidth="1"/>
    <col min="4644" max="4644" width="11.42578125" style="105" customWidth="1"/>
    <col min="4645" max="4645" width="11.5703125" style="105" customWidth="1"/>
    <col min="4646" max="4647" width="11.42578125" style="105" customWidth="1"/>
    <col min="4648" max="4648" width="11.140625" style="105" customWidth="1"/>
    <col min="4649" max="4649" width="10.42578125" style="105" customWidth="1"/>
    <col min="4650" max="4650" width="10.28515625" style="105" customWidth="1"/>
    <col min="4651" max="4651" width="11.42578125" style="105" customWidth="1"/>
    <col min="4652" max="4652" width="10.5703125" style="105" customWidth="1"/>
    <col min="4653" max="4653" width="10.42578125" style="105" customWidth="1"/>
    <col min="4654" max="4654" width="11.42578125" style="105" customWidth="1"/>
    <col min="4655" max="4655" width="11.5703125" style="105" customWidth="1"/>
    <col min="4656" max="4657" width="11.42578125" style="105" customWidth="1"/>
    <col min="4658" max="4658" width="11.140625" style="105" customWidth="1"/>
    <col min="4659" max="4660" width="17.7109375" style="105" customWidth="1"/>
    <col min="4661" max="4661" width="22.5703125" style="105" customWidth="1"/>
    <col min="4662" max="4863" width="11.42578125" style="105"/>
    <col min="4864" max="4864" width="15.42578125" style="105" bestFit="1" customWidth="1"/>
    <col min="4865" max="4865" width="19.140625" style="105" bestFit="1" customWidth="1"/>
    <col min="4866" max="4866" width="11.42578125" style="105"/>
    <col min="4867" max="4867" width="12.140625" style="105" bestFit="1" customWidth="1"/>
    <col min="4868" max="4868" width="16.85546875" style="105" bestFit="1" customWidth="1"/>
    <col min="4869" max="4869" width="8.7109375" style="105" bestFit="1" customWidth="1"/>
    <col min="4870" max="4870" width="11.42578125" style="105"/>
    <col min="4871" max="4871" width="14.85546875" style="105" customWidth="1"/>
    <col min="4872" max="4872" width="12" style="105" customWidth="1"/>
    <col min="4873" max="4873" width="17.85546875" style="105" customWidth="1"/>
    <col min="4874" max="4874" width="24" style="105" customWidth="1"/>
    <col min="4875" max="4875" width="27.5703125" style="105" customWidth="1"/>
    <col min="4876" max="4876" width="20.140625" style="105" customWidth="1"/>
    <col min="4877" max="4877" width="20" style="105" customWidth="1"/>
    <col min="4878" max="4878" width="10.5703125" style="105" customWidth="1"/>
    <col min="4879" max="4879" width="20.140625" style="105" customWidth="1"/>
    <col min="4880" max="4880" width="11.42578125" style="105" customWidth="1"/>
    <col min="4881" max="4881" width="19.42578125" style="105" customWidth="1"/>
    <col min="4882" max="4883" width="11.42578125" style="105" customWidth="1"/>
    <col min="4884" max="4884" width="11.140625" style="105" customWidth="1"/>
    <col min="4885" max="4885" width="10.42578125" style="105" customWidth="1"/>
    <col min="4886" max="4886" width="10.28515625" style="105" customWidth="1"/>
    <col min="4887" max="4887" width="11.42578125" style="105" customWidth="1"/>
    <col min="4888" max="4888" width="10.5703125" style="105" customWidth="1"/>
    <col min="4889" max="4889" width="10.42578125" style="105" customWidth="1"/>
    <col min="4890" max="4890" width="11.42578125" style="105" customWidth="1"/>
    <col min="4891" max="4891" width="11.5703125" style="105" customWidth="1"/>
    <col min="4892" max="4893" width="11.42578125" style="105" customWidth="1"/>
    <col min="4894" max="4894" width="11.140625" style="105" customWidth="1"/>
    <col min="4895" max="4895" width="10.42578125" style="105" customWidth="1"/>
    <col min="4896" max="4896" width="10.28515625" style="105" customWidth="1"/>
    <col min="4897" max="4897" width="11.42578125" style="105" customWidth="1"/>
    <col min="4898" max="4898" width="10.5703125" style="105" customWidth="1"/>
    <col min="4899" max="4899" width="10.42578125" style="105" customWidth="1"/>
    <col min="4900" max="4900" width="11.42578125" style="105" customWidth="1"/>
    <col min="4901" max="4901" width="11.5703125" style="105" customWidth="1"/>
    <col min="4902" max="4903" width="11.42578125" style="105" customWidth="1"/>
    <col min="4904" max="4904" width="11.140625" style="105" customWidth="1"/>
    <col min="4905" max="4905" width="10.42578125" style="105" customWidth="1"/>
    <col min="4906" max="4906" width="10.28515625" style="105" customWidth="1"/>
    <col min="4907" max="4907" width="11.42578125" style="105" customWidth="1"/>
    <col min="4908" max="4908" width="10.5703125" style="105" customWidth="1"/>
    <col min="4909" max="4909" width="10.42578125" style="105" customWidth="1"/>
    <col min="4910" max="4910" width="11.42578125" style="105" customWidth="1"/>
    <col min="4911" max="4911" width="11.5703125" style="105" customWidth="1"/>
    <col min="4912" max="4913" width="11.42578125" style="105" customWidth="1"/>
    <col min="4914" max="4914" width="11.140625" style="105" customWidth="1"/>
    <col min="4915" max="4916" width="17.7109375" style="105" customWidth="1"/>
    <col min="4917" max="4917" width="22.5703125" style="105" customWidth="1"/>
    <col min="4918" max="5119" width="11.42578125" style="105"/>
    <col min="5120" max="5120" width="15.42578125" style="105" bestFit="1" customWidth="1"/>
    <col min="5121" max="5121" width="19.140625" style="105" bestFit="1" customWidth="1"/>
    <col min="5122" max="5122" width="11.42578125" style="105"/>
    <col min="5123" max="5123" width="12.140625" style="105" bestFit="1" customWidth="1"/>
    <col min="5124" max="5124" width="16.85546875" style="105" bestFit="1" customWidth="1"/>
    <col min="5125" max="5125" width="8.7109375" style="105" bestFit="1" customWidth="1"/>
    <col min="5126" max="5126" width="11.42578125" style="105"/>
    <col min="5127" max="5127" width="14.85546875" style="105" customWidth="1"/>
    <col min="5128" max="5128" width="12" style="105" customWidth="1"/>
    <col min="5129" max="5129" width="17.85546875" style="105" customWidth="1"/>
    <col min="5130" max="5130" width="24" style="105" customWidth="1"/>
    <col min="5131" max="5131" width="27.5703125" style="105" customWidth="1"/>
    <col min="5132" max="5132" width="20.140625" style="105" customWidth="1"/>
    <col min="5133" max="5133" width="20" style="105" customWidth="1"/>
    <col min="5134" max="5134" width="10.5703125" style="105" customWidth="1"/>
    <col min="5135" max="5135" width="20.140625" style="105" customWidth="1"/>
    <col min="5136" max="5136" width="11.42578125" style="105" customWidth="1"/>
    <col min="5137" max="5137" width="19.42578125" style="105" customWidth="1"/>
    <col min="5138" max="5139" width="11.42578125" style="105" customWidth="1"/>
    <col min="5140" max="5140" width="11.140625" style="105" customWidth="1"/>
    <col min="5141" max="5141" width="10.42578125" style="105" customWidth="1"/>
    <col min="5142" max="5142" width="10.28515625" style="105" customWidth="1"/>
    <col min="5143" max="5143" width="11.42578125" style="105" customWidth="1"/>
    <col min="5144" max="5144" width="10.5703125" style="105" customWidth="1"/>
    <col min="5145" max="5145" width="10.42578125" style="105" customWidth="1"/>
    <col min="5146" max="5146" width="11.42578125" style="105" customWidth="1"/>
    <col min="5147" max="5147" width="11.5703125" style="105" customWidth="1"/>
    <col min="5148" max="5149" width="11.42578125" style="105" customWidth="1"/>
    <col min="5150" max="5150" width="11.140625" style="105" customWidth="1"/>
    <col min="5151" max="5151" width="10.42578125" style="105" customWidth="1"/>
    <col min="5152" max="5152" width="10.28515625" style="105" customWidth="1"/>
    <col min="5153" max="5153" width="11.42578125" style="105" customWidth="1"/>
    <col min="5154" max="5154" width="10.5703125" style="105" customWidth="1"/>
    <col min="5155" max="5155" width="10.42578125" style="105" customWidth="1"/>
    <col min="5156" max="5156" width="11.42578125" style="105" customWidth="1"/>
    <col min="5157" max="5157" width="11.5703125" style="105" customWidth="1"/>
    <col min="5158" max="5159" width="11.42578125" style="105" customWidth="1"/>
    <col min="5160" max="5160" width="11.140625" style="105" customWidth="1"/>
    <col min="5161" max="5161" width="10.42578125" style="105" customWidth="1"/>
    <col min="5162" max="5162" width="10.28515625" style="105" customWidth="1"/>
    <col min="5163" max="5163" width="11.42578125" style="105" customWidth="1"/>
    <col min="5164" max="5164" width="10.5703125" style="105" customWidth="1"/>
    <col min="5165" max="5165" width="10.42578125" style="105" customWidth="1"/>
    <col min="5166" max="5166" width="11.42578125" style="105" customWidth="1"/>
    <col min="5167" max="5167" width="11.5703125" style="105" customWidth="1"/>
    <col min="5168" max="5169" width="11.42578125" style="105" customWidth="1"/>
    <col min="5170" max="5170" width="11.140625" style="105" customWidth="1"/>
    <col min="5171" max="5172" width="17.7109375" style="105" customWidth="1"/>
    <col min="5173" max="5173" width="22.5703125" style="105" customWidth="1"/>
    <col min="5174" max="5375" width="11.42578125" style="105"/>
    <col min="5376" max="5376" width="15.42578125" style="105" bestFit="1" customWidth="1"/>
    <col min="5377" max="5377" width="19.140625" style="105" bestFit="1" customWidth="1"/>
    <col min="5378" max="5378" width="11.42578125" style="105"/>
    <col min="5379" max="5379" width="12.140625" style="105" bestFit="1" customWidth="1"/>
    <col min="5380" max="5380" width="16.85546875" style="105" bestFit="1" customWidth="1"/>
    <col min="5381" max="5381" width="8.7109375" style="105" bestFit="1" customWidth="1"/>
    <col min="5382" max="5382" width="11.42578125" style="105"/>
    <col min="5383" max="5383" width="14.85546875" style="105" customWidth="1"/>
    <col min="5384" max="5384" width="12" style="105" customWidth="1"/>
    <col min="5385" max="5385" width="17.85546875" style="105" customWidth="1"/>
    <col min="5386" max="5386" width="24" style="105" customWidth="1"/>
    <col min="5387" max="5387" width="27.5703125" style="105" customWidth="1"/>
    <col min="5388" max="5388" width="20.140625" style="105" customWidth="1"/>
    <col min="5389" max="5389" width="20" style="105" customWidth="1"/>
    <col min="5390" max="5390" width="10.5703125" style="105" customWidth="1"/>
    <col min="5391" max="5391" width="20.140625" style="105" customWidth="1"/>
    <col min="5392" max="5392" width="11.42578125" style="105" customWidth="1"/>
    <col min="5393" max="5393" width="19.42578125" style="105" customWidth="1"/>
    <col min="5394" max="5395" width="11.42578125" style="105" customWidth="1"/>
    <col min="5396" max="5396" width="11.140625" style="105" customWidth="1"/>
    <col min="5397" max="5397" width="10.42578125" style="105" customWidth="1"/>
    <col min="5398" max="5398" width="10.28515625" style="105" customWidth="1"/>
    <col min="5399" max="5399" width="11.42578125" style="105" customWidth="1"/>
    <col min="5400" max="5400" width="10.5703125" style="105" customWidth="1"/>
    <col min="5401" max="5401" width="10.42578125" style="105" customWidth="1"/>
    <col min="5402" max="5402" width="11.42578125" style="105" customWidth="1"/>
    <col min="5403" max="5403" width="11.5703125" style="105" customWidth="1"/>
    <col min="5404" max="5405" width="11.42578125" style="105" customWidth="1"/>
    <col min="5406" max="5406" width="11.140625" style="105" customWidth="1"/>
    <col min="5407" max="5407" width="10.42578125" style="105" customWidth="1"/>
    <col min="5408" max="5408" width="10.28515625" style="105" customWidth="1"/>
    <col min="5409" max="5409" width="11.42578125" style="105" customWidth="1"/>
    <col min="5410" max="5410" width="10.5703125" style="105" customWidth="1"/>
    <col min="5411" max="5411" width="10.42578125" style="105" customWidth="1"/>
    <col min="5412" max="5412" width="11.42578125" style="105" customWidth="1"/>
    <col min="5413" max="5413" width="11.5703125" style="105" customWidth="1"/>
    <col min="5414" max="5415" width="11.42578125" style="105" customWidth="1"/>
    <col min="5416" max="5416" width="11.140625" style="105" customWidth="1"/>
    <col min="5417" max="5417" width="10.42578125" style="105" customWidth="1"/>
    <col min="5418" max="5418" width="10.28515625" style="105" customWidth="1"/>
    <col min="5419" max="5419" width="11.42578125" style="105" customWidth="1"/>
    <col min="5420" max="5420" width="10.5703125" style="105" customWidth="1"/>
    <col min="5421" max="5421" width="10.42578125" style="105" customWidth="1"/>
    <col min="5422" max="5422" width="11.42578125" style="105" customWidth="1"/>
    <col min="5423" max="5423" width="11.5703125" style="105" customWidth="1"/>
    <col min="5424" max="5425" width="11.42578125" style="105" customWidth="1"/>
    <col min="5426" max="5426" width="11.140625" style="105" customWidth="1"/>
    <col min="5427" max="5428" width="17.7109375" style="105" customWidth="1"/>
    <col min="5429" max="5429" width="22.5703125" style="105" customWidth="1"/>
    <col min="5430" max="5631" width="11.42578125" style="105"/>
    <col min="5632" max="5632" width="15.42578125" style="105" bestFit="1" customWidth="1"/>
    <col min="5633" max="5633" width="19.140625" style="105" bestFit="1" customWidth="1"/>
    <col min="5634" max="5634" width="11.42578125" style="105"/>
    <col min="5635" max="5635" width="12.140625" style="105" bestFit="1" customWidth="1"/>
    <col min="5636" max="5636" width="16.85546875" style="105" bestFit="1" customWidth="1"/>
    <col min="5637" max="5637" width="8.7109375" style="105" bestFit="1" customWidth="1"/>
    <col min="5638" max="5638" width="11.42578125" style="105"/>
    <col min="5639" max="5639" width="14.85546875" style="105" customWidth="1"/>
    <col min="5640" max="5640" width="12" style="105" customWidth="1"/>
    <col min="5641" max="5641" width="17.85546875" style="105" customWidth="1"/>
    <col min="5642" max="5642" width="24" style="105" customWidth="1"/>
    <col min="5643" max="5643" width="27.5703125" style="105" customWidth="1"/>
    <col min="5644" max="5644" width="20.140625" style="105" customWidth="1"/>
    <col min="5645" max="5645" width="20" style="105" customWidth="1"/>
    <col min="5646" max="5646" width="10.5703125" style="105" customWidth="1"/>
    <col min="5647" max="5647" width="20.140625" style="105" customWidth="1"/>
    <col min="5648" max="5648" width="11.42578125" style="105" customWidth="1"/>
    <col min="5649" max="5649" width="19.42578125" style="105" customWidth="1"/>
    <col min="5650" max="5651" width="11.42578125" style="105" customWidth="1"/>
    <col min="5652" max="5652" width="11.140625" style="105" customWidth="1"/>
    <col min="5653" max="5653" width="10.42578125" style="105" customWidth="1"/>
    <col min="5654" max="5654" width="10.28515625" style="105" customWidth="1"/>
    <col min="5655" max="5655" width="11.42578125" style="105" customWidth="1"/>
    <col min="5656" max="5656" width="10.5703125" style="105" customWidth="1"/>
    <col min="5657" max="5657" width="10.42578125" style="105" customWidth="1"/>
    <col min="5658" max="5658" width="11.42578125" style="105" customWidth="1"/>
    <col min="5659" max="5659" width="11.5703125" style="105" customWidth="1"/>
    <col min="5660" max="5661" width="11.42578125" style="105" customWidth="1"/>
    <col min="5662" max="5662" width="11.140625" style="105" customWidth="1"/>
    <col min="5663" max="5663" width="10.42578125" style="105" customWidth="1"/>
    <col min="5664" max="5664" width="10.28515625" style="105" customWidth="1"/>
    <col min="5665" max="5665" width="11.42578125" style="105" customWidth="1"/>
    <col min="5666" max="5666" width="10.5703125" style="105" customWidth="1"/>
    <col min="5667" max="5667" width="10.42578125" style="105" customWidth="1"/>
    <col min="5668" max="5668" width="11.42578125" style="105" customWidth="1"/>
    <col min="5669" max="5669" width="11.5703125" style="105" customWidth="1"/>
    <col min="5670" max="5671" width="11.42578125" style="105" customWidth="1"/>
    <col min="5672" max="5672" width="11.140625" style="105" customWidth="1"/>
    <col min="5673" max="5673" width="10.42578125" style="105" customWidth="1"/>
    <col min="5674" max="5674" width="10.28515625" style="105" customWidth="1"/>
    <col min="5675" max="5675" width="11.42578125" style="105" customWidth="1"/>
    <col min="5676" max="5676" width="10.5703125" style="105" customWidth="1"/>
    <col min="5677" max="5677" width="10.42578125" style="105" customWidth="1"/>
    <col min="5678" max="5678" width="11.42578125" style="105" customWidth="1"/>
    <col min="5679" max="5679" width="11.5703125" style="105" customWidth="1"/>
    <col min="5680" max="5681" width="11.42578125" style="105" customWidth="1"/>
    <col min="5682" max="5682" width="11.140625" style="105" customWidth="1"/>
    <col min="5683" max="5684" width="17.7109375" style="105" customWidth="1"/>
    <col min="5685" max="5685" width="22.5703125" style="105" customWidth="1"/>
    <col min="5686" max="5887" width="11.42578125" style="105"/>
    <col min="5888" max="5888" width="15.42578125" style="105" bestFit="1" customWidth="1"/>
    <col min="5889" max="5889" width="19.140625" style="105" bestFit="1" customWidth="1"/>
    <col min="5890" max="5890" width="11.42578125" style="105"/>
    <col min="5891" max="5891" width="12.140625" style="105" bestFit="1" customWidth="1"/>
    <col min="5892" max="5892" width="16.85546875" style="105" bestFit="1" customWidth="1"/>
    <col min="5893" max="5893" width="8.7109375" style="105" bestFit="1" customWidth="1"/>
    <col min="5894" max="5894" width="11.42578125" style="105"/>
    <col min="5895" max="5895" width="14.85546875" style="105" customWidth="1"/>
    <col min="5896" max="5896" width="12" style="105" customWidth="1"/>
    <col min="5897" max="5897" width="17.85546875" style="105" customWidth="1"/>
    <col min="5898" max="5898" width="24" style="105" customWidth="1"/>
    <col min="5899" max="5899" width="27.5703125" style="105" customWidth="1"/>
    <col min="5900" max="5900" width="20.140625" style="105" customWidth="1"/>
    <col min="5901" max="5901" width="20" style="105" customWidth="1"/>
    <col min="5902" max="5902" width="10.5703125" style="105" customWidth="1"/>
    <col min="5903" max="5903" width="20.140625" style="105" customWidth="1"/>
    <col min="5904" max="5904" width="11.42578125" style="105" customWidth="1"/>
    <col min="5905" max="5905" width="19.42578125" style="105" customWidth="1"/>
    <col min="5906" max="5907" width="11.42578125" style="105" customWidth="1"/>
    <col min="5908" max="5908" width="11.140625" style="105" customWidth="1"/>
    <col min="5909" max="5909" width="10.42578125" style="105" customWidth="1"/>
    <col min="5910" max="5910" width="10.28515625" style="105" customWidth="1"/>
    <col min="5911" max="5911" width="11.42578125" style="105" customWidth="1"/>
    <col min="5912" max="5912" width="10.5703125" style="105" customWidth="1"/>
    <col min="5913" max="5913" width="10.42578125" style="105" customWidth="1"/>
    <col min="5914" max="5914" width="11.42578125" style="105" customWidth="1"/>
    <col min="5915" max="5915" width="11.5703125" style="105" customWidth="1"/>
    <col min="5916" max="5917" width="11.42578125" style="105" customWidth="1"/>
    <col min="5918" max="5918" width="11.140625" style="105" customWidth="1"/>
    <col min="5919" max="5919" width="10.42578125" style="105" customWidth="1"/>
    <col min="5920" max="5920" width="10.28515625" style="105" customWidth="1"/>
    <col min="5921" max="5921" width="11.42578125" style="105" customWidth="1"/>
    <col min="5922" max="5922" width="10.5703125" style="105" customWidth="1"/>
    <col min="5923" max="5923" width="10.42578125" style="105" customWidth="1"/>
    <col min="5924" max="5924" width="11.42578125" style="105" customWidth="1"/>
    <col min="5925" max="5925" width="11.5703125" style="105" customWidth="1"/>
    <col min="5926" max="5927" width="11.42578125" style="105" customWidth="1"/>
    <col min="5928" max="5928" width="11.140625" style="105" customWidth="1"/>
    <col min="5929" max="5929" width="10.42578125" style="105" customWidth="1"/>
    <col min="5930" max="5930" width="10.28515625" style="105" customWidth="1"/>
    <col min="5931" max="5931" width="11.42578125" style="105" customWidth="1"/>
    <col min="5932" max="5932" width="10.5703125" style="105" customWidth="1"/>
    <col min="5933" max="5933" width="10.42578125" style="105" customWidth="1"/>
    <col min="5934" max="5934" width="11.42578125" style="105" customWidth="1"/>
    <col min="5935" max="5935" width="11.5703125" style="105" customWidth="1"/>
    <col min="5936" max="5937" width="11.42578125" style="105" customWidth="1"/>
    <col min="5938" max="5938" width="11.140625" style="105" customWidth="1"/>
    <col min="5939" max="5940" width="17.7109375" style="105" customWidth="1"/>
    <col min="5941" max="5941" width="22.5703125" style="105" customWidth="1"/>
    <col min="5942" max="6143" width="11.42578125" style="105"/>
    <col min="6144" max="6144" width="15.42578125" style="105" bestFit="1" customWidth="1"/>
    <col min="6145" max="6145" width="19.140625" style="105" bestFit="1" customWidth="1"/>
    <col min="6146" max="6146" width="11.42578125" style="105"/>
    <col min="6147" max="6147" width="12.140625" style="105" bestFit="1" customWidth="1"/>
    <col min="6148" max="6148" width="16.85546875" style="105" bestFit="1" customWidth="1"/>
    <col min="6149" max="6149" width="8.7109375" style="105" bestFit="1" customWidth="1"/>
    <col min="6150" max="6150" width="11.42578125" style="105"/>
    <col min="6151" max="6151" width="14.85546875" style="105" customWidth="1"/>
    <col min="6152" max="6152" width="12" style="105" customWidth="1"/>
    <col min="6153" max="6153" width="17.85546875" style="105" customWidth="1"/>
    <col min="6154" max="6154" width="24" style="105" customWidth="1"/>
    <col min="6155" max="6155" width="27.5703125" style="105" customWidth="1"/>
    <col min="6156" max="6156" width="20.140625" style="105" customWidth="1"/>
    <col min="6157" max="6157" width="20" style="105" customWidth="1"/>
    <col min="6158" max="6158" width="10.5703125" style="105" customWidth="1"/>
    <col min="6159" max="6159" width="20.140625" style="105" customWidth="1"/>
    <col min="6160" max="6160" width="11.42578125" style="105" customWidth="1"/>
    <col min="6161" max="6161" width="19.42578125" style="105" customWidth="1"/>
    <col min="6162" max="6163" width="11.42578125" style="105" customWidth="1"/>
    <col min="6164" max="6164" width="11.140625" style="105" customWidth="1"/>
    <col min="6165" max="6165" width="10.42578125" style="105" customWidth="1"/>
    <col min="6166" max="6166" width="10.28515625" style="105" customWidth="1"/>
    <col min="6167" max="6167" width="11.42578125" style="105" customWidth="1"/>
    <col min="6168" max="6168" width="10.5703125" style="105" customWidth="1"/>
    <col min="6169" max="6169" width="10.42578125" style="105" customWidth="1"/>
    <col min="6170" max="6170" width="11.42578125" style="105" customWidth="1"/>
    <col min="6171" max="6171" width="11.5703125" style="105" customWidth="1"/>
    <col min="6172" max="6173" width="11.42578125" style="105" customWidth="1"/>
    <col min="6174" max="6174" width="11.140625" style="105" customWidth="1"/>
    <col min="6175" max="6175" width="10.42578125" style="105" customWidth="1"/>
    <col min="6176" max="6176" width="10.28515625" style="105" customWidth="1"/>
    <col min="6177" max="6177" width="11.42578125" style="105" customWidth="1"/>
    <col min="6178" max="6178" width="10.5703125" style="105" customWidth="1"/>
    <col min="6179" max="6179" width="10.42578125" style="105" customWidth="1"/>
    <col min="6180" max="6180" width="11.42578125" style="105" customWidth="1"/>
    <col min="6181" max="6181" width="11.5703125" style="105" customWidth="1"/>
    <col min="6182" max="6183" width="11.42578125" style="105" customWidth="1"/>
    <col min="6184" max="6184" width="11.140625" style="105" customWidth="1"/>
    <col min="6185" max="6185" width="10.42578125" style="105" customWidth="1"/>
    <col min="6186" max="6186" width="10.28515625" style="105" customWidth="1"/>
    <col min="6187" max="6187" width="11.42578125" style="105" customWidth="1"/>
    <col min="6188" max="6188" width="10.5703125" style="105" customWidth="1"/>
    <col min="6189" max="6189" width="10.42578125" style="105" customWidth="1"/>
    <col min="6190" max="6190" width="11.42578125" style="105" customWidth="1"/>
    <col min="6191" max="6191" width="11.5703125" style="105" customWidth="1"/>
    <col min="6192" max="6193" width="11.42578125" style="105" customWidth="1"/>
    <col min="6194" max="6194" width="11.140625" style="105" customWidth="1"/>
    <col min="6195" max="6196" width="17.7109375" style="105" customWidth="1"/>
    <col min="6197" max="6197" width="22.5703125" style="105" customWidth="1"/>
    <col min="6198" max="6399" width="11.42578125" style="105"/>
    <col min="6400" max="6400" width="15.42578125" style="105" bestFit="1" customWidth="1"/>
    <col min="6401" max="6401" width="19.140625" style="105" bestFit="1" customWidth="1"/>
    <col min="6402" max="6402" width="11.42578125" style="105"/>
    <col min="6403" max="6403" width="12.140625" style="105" bestFit="1" customWidth="1"/>
    <col min="6404" max="6404" width="16.85546875" style="105" bestFit="1" customWidth="1"/>
    <col min="6405" max="6405" width="8.7109375" style="105" bestFit="1" customWidth="1"/>
    <col min="6406" max="6406" width="11.42578125" style="105"/>
    <col min="6407" max="6407" width="14.85546875" style="105" customWidth="1"/>
    <col min="6408" max="6408" width="12" style="105" customWidth="1"/>
    <col min="6409" max="6409" width="17.85546875" style="105" customWidth="1"/>
    <col min="6410" max="6410" width="24" style="105" customWidth="1"/>
    <col min="6411" max="6411" width="27.5703125" style="105" customWidth="1"/>
    <col min="6412" max="6412" width="20.140625" style="105" customWidth="1"/>
    <col min="6413" max="6413" width="20" style="105" customWidth="1"/>
    <col min="6414" max="6414" width="10.5703125" style="105" customWidth="1"/>
    <col min="6415" max="6415" width="20.140625" style="105" customWidth="1"/>
    <col min="6416" max="6416" width="11.42578125" style="105" customWidth="1"/>
    <col min="6417" max="6417" width="19.42578125" style="105" customWidth="1"/>
    <col min="6418" max="6419" width="11.42578125" style="105" customWidth="1"/>
    <col min="6420" max="6420" width="11.140625" style="105" customWidth="1"/>
    <col min="6421" max="6421" width="10.42578125" style="105" customWidth="1"/>
    <col min="6422" max="6422" width="10.28515625" style="105" customWidth="1"/>
    <col min="6423" max="6423" width="11.42578125" style="105" customWidth="1"/>
    <col min="6424" max="6424" width="10.5703125" style="105" customWidth="1"/>
    <col min="6425" max="6425" width="10.42578125" style="105" customWidth="1"/>
    <col min="6426" max="6426" width="11.42578125" style="105" customWidth="1"/>
    <col min="6427" max="6427" width="11.5703125" style="105" customWidth="1"/>
    <col min="6428" max="6429" width="11.42578125" style="105" customWidth="1"/>
    <col min="6430" max="6430" width="11.140625" style="105" customWidth="1"/>
    <col min="6431" max="6431" width="10.42578125" style="105" customWidth="1"/>
    <col min="6432" max="6432" width="10.28515625" style="105" customWidth="1"/>
    <col min="6433" max="6433" width="11.42578125" style="105" customWidth="1"/>
    <col min="6434" max="6434" width="10.5703125" style="105" customWidth="1"/>
    <col min="6435" max="6435" width="10.42578125" style="105" customWidth="1"/>
    <col min="6436" max="6436" width="11.42578125" style="105" customWidth="1"/>
    <col min="6437" max="6437" width="11.5703125" style="105" customWidth="1"/>
    <col min="6438" max="6439" width="11.42578125" style="105" customWidth="1"/>
    <col min="6440" max="6440" width="11.140625" style="105" customWidth="1"/>
    <col min="6441" max="6441" width="10.42578125" style="105" customWidth="1"/>
    <col min="6442" max="6442" width="10.28515625" style="105" customWidth="1"/>
    <col min="6443" max="6443" width="11.42578125" style="105" customWidth="1"/>
    <col min="6444" max="6444" width="10.5703125" style="105" customWidth="1"/>
    <col min="6445" max="6445" width="10.42578125" style="105" customWidth="1"/>
    <col min="6446" max="6446" width="11.42578125" style="105" customWidth="1"/>
    <col min="6447" max="6447" width="11.5703125" style="105" customWidth="1"/>
    <col min="6448" max="6449" width="11.42578125" style="105" customWidth="1"/>
    <col min="6450" max="6450" width="11.140625" style="105" customWidth="1"/>
    <col min="6451" max="6452" width="17.7109375" style="105" customWidth="1"/>
    <col min="6453" max="6453" width="22.5703125" style="105" customWidth="1"/>
    <col min="6454" max="6655" width="11.42578125" style="105"/>
    <col min="6656" max="6656" width="15.42578125" style="105" bestFit="1" customWidth="1"/>
    <col min="6657" max="6657" width="19.140625" style="105" bestFit="1" customWidth="1"/>
    <col min="6658" max="6658" width="11.42578125" style="105"/>
    <col min="6659" max="6659" width="12.140625" style="105" bestFit="1" customWidth="1"/>
    <col min="6660" max="6660" width="16.85546875" style="105" bestFit="1" customWidth="1"/>
    <col min="6661" max="6661" width="8.7109375" style="105" bestFit="1" customWidth="1"/>
    <col min="6662" max="6662" width="11.42578125" style="105"/>
    <col min="6663" max="6663" width="14.85546875" style="105" customWidth="1"/>
    <col min="6664" max="6664" width="12" style="105" customWidth="1"/>
    <col min="6665" max="6665" width="17.85546875" style="105" customWidth="1"/>
    <col min="6666" max="6666" width="24" style="105" customWidth="1"/>
    <col min="6667" max="6667" width="27.5703125" style="105" customWidth="1"/>
    <col min="6668" max="6668" width="20.140625" style="105" customWidth="1"/>
    <col min="6669" max="6669" width="20" style="105" customWidth="1"/>
    <col min="6670" max="6670" width="10.5703125" style="105" customWidth="1"/>
    <col min="6671" max="6671" width="20.140625" style="105" customWidth="1"/>
    <col min="6672" max="6672" width="11.42578125" style="105" customWidth="1"/>
    <col min="6673" max="6673" width="19.42578125" style="105" customWidth="1"/>
    <col min="6674" max="6675" width="11.42578125" style="105" customWidth="1"/>
    <col min="6676" max="6676" width="11.140625" style="105" customWidth="1"/>
    <col min="6677" max="6677" width="10.42578125" style="105" customWidth="1"/>
    <col min="6678" max="6678" width="10.28515625" style="105" customWidth="1"/>
    <col min="6679" max="6679" width="11.42578125" style="105" customWidth="1"/>
    <col min="6680" max="6680" width="10.5703125" style="105" customWidth="1"/>
    <col min="6681" max="6681" width="10.42578125" style="105" customWidth="1"/>
    <col min="6682" max="6682" width="11.42578125" style="105" customWidth="1"/>
    <col min="6683" max="6683" width="11.5703125" style="105" customWidth="1"/>
    <col min="6684" max="6685" width="11.42578125" style="105" customWidth="1"/>
    <col min="6686" max="6686" width="11.140625" style="105" customWidth="1"/>
    <col min="6687" max="6687" width="10.42578125" style="105" customWidth="1"/>
    <col min="6688" max="6688" width="10.28515625" style="105" customWidth="1"/>
    <col min="6689" max="6689" width="11.42578125" style="105" customWidth="1"/>
    <col min="6690" max="6690" width="10.5703125" style="105" customWidth="1"/>
    <col min="6691" max="6691" width="10.42578125" style="105" customWidth="1"/>
    <col min="6692" max="6692" width="11.42578125" style="105" customWidth="1"/>
    <col min="6693" max="6693" width="11.5703125" style="105" customWidth="1"/>
    <col min="6694" max="6695" width="11.42578125" style="105" customWidth="1"/>
    <col min="6696" max="6696" width="11.140625" style="105" customWidth="1"/>
    <col min="6697" max="6697" width="10.42578125" style="105" customWidth="1"/>
    <col min="6698" max="6698" width="10.28515625" style="105" customWidth="1"/>
    <col min="6699" max="6699" width="11.42578125" style="105" customWidth="1"/>
    <col min="6700" max="6700" width="10.5703125" style="105" customWidth="1"/>
    <col min="6701" max="6701" width="10.42578125" style="105" customWidth="1"/>
    <col min="6702" max="6702" width="11.42578125" style="105" customWidth="1"/>
    <col min="6703" max="6703" width="11.5703125" style="105" customWidth="1"/>
    <col min="6704" max="6705" width="11.42578125" style="105" customWidth="1"/>
    <col min="6706" max="6706" width="11.140625" style="105" customWidth="1"/>
    <col min="6707" max="6708" width="17.7109375" style="105" customWidth="1"/>
    <col min="6709" max="6709" width="22.5703125" style="105" customWidth="1"/>
    <col min="6710" max="6911" width="11.42578125" style="105"/>
    <col min="6912" max="6912" width="15.42578125" style="105" bestFit="1" customWidth="1"/>
    <col min="6913" max="6913" width="19.140625" style="105" bestFit="1" customWidth="1"/>
    <col min="6914" max="6914" width="11.42578125" style="105"/>
    <col min="6915" max="6915" width="12.140625" style="105" bestFit="1" customWidth="1"/>
    <col min="6916" max="6916" width="16.85546875" style="105" bestFit="1" customWidth="1"/>
    <col min="6917" max="6917" width="8.7109375" style="105" bestFit="1" customWidth="1"/>
    <col min="6918" max="6918" width="11.42578125" style="105"/>
    <col min="6919" max="6919" width="14.85546875" style="105" customWidth="1"/>
    <col min="6920" max="6920" width="12" style="105" customWidth="1"/>
    <col min="6921" max="6921" width="17.85546875" style="105" customWidth="1"/>
    <col min="6922" max="6922" width="24" style="105" customWidth="1"/>
    <col min="6923" max="6923" width="27.5703125" style="105" customWidth="1"/>
    <col min="6924" max="6924" width="20.140625" style="105" customWidth="1"/>
    <col min="6925" max="6925" width="20" style="105" customWidth="1"/>
    <col min="6926" max="6926" width="10.5703125" style="105" customWidth="1"/>
    <col min="6927" max="6927" width="20.140625" style="105" customWidth="1"/>
    <col min="6928" max="6928" width="11.42578125" style="105" customWidth="1"/>
    <col min="6929" max="6929" width="19.42578125" style="105" customWidth="1"/>
    <col min="6930" max="6931" width="11.42578125" style="105" customWidth="1"/>
    <col min="6932" max="6932" width="11.140625" style="105" customWidth="1"/>
    <col min="6933" max="6933" width="10.42578125" style="105" customWidth="1"/>
    <col min="6934" max="6934" width="10.28515625" style="105" customWidth="1"/>
    <col min="6935" max="6935" width="11.42578125" style="105" customWidth="1"/>
    <col min="6936" max="6936" width="10.5703125" style="105" customWidth="1"/>
    <col min="6937" max="6937" width="10.42578125" style="105" customWidth="1"/>
    <col min="6938" max="6938" width="11.42578125" style="105" customWidth="1"/>
    <col min="6939" max="6939" width="11.5703125" style="105" customWidth="1"/>
    <col min="6940" max="6941" width="11.42578125" style="105" customWidth="1"/>
    <col min="6942" max="6942" width="11.140625" style="105" customWidth="1"/>
    <col min="6943" max="6943" width="10.42578125" style="105" customWidth="1"/>
    <col min="6944" max="6944" width="10.28515625" style="105" customWidth="1"/>
    <col min="6945" max="6945" width="11.42578125" style="105" customWidth="1"/>
    <col min="6946" max="6946" width="10.5703125" style="105" customWidth="1"/>
    <col min="6947" max="6947" width="10.42578125" style="105" customWidth="1"/>
    <col min="6948" max="6948" width="11.42578125" style="105" customWidth="1"/>
    <col min="6949" max="6949" width="11.5703125" style="105" customWidth="1"/>
    <col min="6950" max="6951" width="11.42578125" style="105" customWidth="1"/>
    <col min="6952" max="6952" width="11.140625" style="105" customWidth="1"/>
    <col min="6953" max="6953" width="10.42578125" style="105" customWidth="1"/>
    <col min="6954" max="6954" width="10.28515625" style="105" customWidth="1"/>
    <col min="6955" max="6955" width="11.42578125" style="105" customWidth="1"/>
    <col min="6956" max="6956" width="10.5703125" style="105" customWidth="1"/>
    <col min="6957" max="6957" width="10.42578125" style="105" customWidth="1"/>
    <col min="6958" max="6958" width="11.42578125" style="105" customWidth="1"/>
    <col min="6959" max="6959" width="11.5703125" style="105" customWidth="1"/>
    <col min="6960" max="6961" width="11.42578125" style="105" customWidth="1"/>
    <col min="6962" max="6962" width="11.140625" style="105" customWidth="1"/>
    <col min="6963" max="6964" width="17.7109375" style="105" customWidth="1"/>
    <col min="6965" max="6965" width="22.5703125" style="105" customWidth="1"/>
    <col min="6966" max="7167" width="11.42578125" style="105"/>
    <col min="7168" max="7168" width="15.42578125" style="105" bestFit="1" customWidth="1"/>
    <col min="7169" max="7169" width="19.140625" style="105" bestFit="1" customWidth="1"/>
    <col min="7170" max="7170" width="11.42578125" style="105"/>
    <col min="7171" max="7171" width="12.140625" style="105" bestFit="1" customWidth="1"/>
    <col min="7172" max="7172" width="16.85546875" style="105" bestFit="1" customWidth="1"/>
    <col min="7173" max="7173" width="8.7109375" style="105" bestFit="1" customWidth="1"/>
    <col min="7174" max="7174" width="11.42578125" style="105"/>
    <col min="7175" max="7175" width="14.85546875" style="105" customWidth="1"/>
    <col min="7176" max="7176" width="12" style="105" customWidth="1"/>
    <col min="7177" max="7177" width="17.85546875" style="105" customWidth="1"/>
    <col min="7178" max="7178" width="24" style="105" customWidth="1"/>
    <col min="7179" max="7179" width="27.5703125" style="105" customWidth="1"/>
    <col min="7180" max="7180" width="20.140625" style="105" customWidth="1"/>
    <col min="7181" max="7181" width="20" style="105" customWidth="1"/>
    <col min="7182" max="7182" width="10.5703125" style="105" customWidth="1"/>
    <col min="7183" max="7183" width="20.140625" style="105" customWidth="1"/>
    <col min="7184" max="7184" width="11.42578125" style="105" customWidth="1"/>
    <col min="7185" max="7185" width="19.42578125" style="105" customWidth="1"/>
    <col min="7186" max="7187" width="11.42578125" style="105" customWidth="1"/>
    <col min="7188" max="7188" width="11.140625" style="105" customWidth="1"/>
    <col min="7189" max="7189" width="10.42578125" style="105" customWidth="1"/>
    <col min="7190" max="7190" width="10.28515625" style="105" customWidth="1"/>
    <col min="7191" max="7191" width="11.42578125" style="105" customWidth="1"/>
    <col min="7192" max="7192" width="10.5703125" style="105" customWidth="1"/>
    <col min="7193" max="7193" width="10.42578125" style="105" customWidth="1"/>
    <col min="7194" max="7194" width="11.42578125" style="105" customWidth="1"/>
    <col min="7195" max="7195" width="11.5703125" style="105" customWidth="1"/>
    <col min="7196" max="7197" width="11.42578125" style="105" customWidth="1"/>
    <col min="7198" max="7198" width="11.140625" style="105" customWidth="1"/>
    <col min="7199" max="7199" width="10.42578125" style="105" customWidth="1"/>
    <col min="7200" max="7200" width="10.28515625" style="105" customWidth="1"/>
    <col min="7201" max="7201" width="11.42578125" style="105" customWidth="1"/>
    <col min="7202" max="7202" width="10.5703125" style="105" customWidth="1"/>
    <col min="7203" max="7203" width="10.42578125" style="105" customWidth="1"/>
    <col min="7204" max="7204" width="11.42578125" style="105" customWidth="1"/>
    <col min="7205" max="7205" width="11.5703125" style="105" customWidth="1"/>
    <col min="7206" max="7207" width="11.42578125" style="105" customWidth="1"/>
    <col min="7208" max="7208" width="11.140625" style="105" customWidth="1"/>
    <col min="7209" max="7209" width="10.42578125" style="105" customWidth="1"/>
    <col min="7210" max="7210" width="10.28515625" style="105" customWidth="1"/>
    <col min="7211" max="7211" width="11.42578125" style="105" customWidth="1"/>
    <col min="7212" max="7212" width="10.5703125" style="105" customWidth="1"/>
    <col min="7213" max="7213" width="10.42578125" style="105" customWidth="1"/>
    <col min="7214" max="7214" width="11.42578125" style="105" customWidth="1"/>
    <col min="7215" max="7215" width="11.5703125" style="105" customWidth="1"/>
    <col min="7216" max="7217" width="11.42578125" style="105" customWidth="1"/>
    <col min="7218" max="7218" width="11.140625" style="105" customWidth="1"/>
    <col min="7219" max="7220" width="17.7109375" style="105" customWidth="1"/>
    <col min="7221" max="7221" width="22.5703125" style="105" customWidth="1"/>
    <col min="7222" max="7423" width="11.42578125" style="105"/>
    <col min="7424" max="7424" width="15.42578125" style="105" bestFit="1" customWidth="1"/>
    <col min="7425" max="7425" width="19.140625" style="105" bestFit="1" customWidth="1"/>
    <col min="7426" max="7426" width="11.42578125" style="105"/>
    <col min="7427" max="7427" width="12.140625" style="105" bestFit="1" customWidth="1"/>
    <col min="7428" max="7428" width="16.85546875" style="105" bestFit="1" customWidth="1"/>
    <col min="7429" max="7429" width="8.7109375" style="105" bestFit="1" customWidth="1"/>
    <col min="7430" max="7430" width="11.42578125" style="105"/>
    <col min="7431" max="7431" width="14.85546875" style="105" customWidth="1"/>
    <col min="7432" max="7432" width="12" style="105" customWidth="1"/>
    <col min="7433" max="7433" width="17.85546875" style="105" customWidth="1"/>
    <col min="7434" max="7434" width="24" style="105" customWidth="1"/>
    <col min="7435" max="7435" width="27.5703125" style="105" customWidth="1"/>
    <col min="7436" max="7436" width="20.140625" style="105" customWidth="1"/>
    <col min="7437" max="7437" width="20" style="105" customWidth="1"/>
    <col min="7438" max="7438" width="10.5703125" style="105" customWidth="1"/>
    <col min="7439" max="7439" width="20.140625" style="105" customWidth="1"/>
    <col min="7440" max="7440" width="11.42578125" style="105" customWidth="1"/>
    <col min="7441" max="7441" width="19.42578125" style="105" customWidth="1"/>
    <col min="7442" max="7443" width="11.42578125" style="105" customWidth="1"/>
    <col min="7444" max="7444" width="11.140625" style="105" customWidth="1"/>
    <col min="7445" max="7445" width="10.42578125" style="105" customWidth="1"/>
    <col min="7446" max="7446" width="10.28515625" style="105" customWidth="1"/>
    <col min="7447" max="7447" width="11.42578125" style="105" customWidth="1"/>
    <col min="7448" max="7448" width="10.5703125" style="105" customWidth="1"/>
    <col min="7449" max="7449" width="10.42578125" style="105" customWidth="1"/>
    <col min="7450" max="7450" width="11.42578125" style="105" customWidth="1"/>
    <col min="7451" max="7451" width="11.5703125" style="105" customWidth="1"/>
    <col min="7452" max="7453" width="11.42578125" style="105" customWidth="1"/>
    <col min="7454" max="7454" width="11.140625" style="105" customWidth="1"/>
    <col min="7455" max="7455" width="10.42578125" style="105" customWidth="1"/>
    <col min="7456" max="7456" width="10.28515625" style="105" customWidth="1"/>
    <col min="7457" max="7457" width="11.42578125" style="105" customWidth="1"/>
    <col min="7458" max="7458" width="10.5703125" style="105" customWidth="1"/>
    <col min="7459" max="7459" width="10.42578125" style="105" customWidth="1"/>
    <col min="7460" max="7460" width="11.42578125" style="105" customWidth="1"/>
    <col min="7461" max="7461" width="11.5703125" style="105" customWidth="1"/>
    <col min="7462" max="7463" width="11.42578125" style="105" customWidth="1"/>
    <col min="7464" max="7464" width="11.140625" style="105" customWidth="1"/>
    <col min="7465" max="7465" width="10.42578125" style="105" customWidth="1"/>
    <col min="7466" max="7466" width="10.28515625" style="105" customWidth="1"/>
    <col min="7467" max="7467" width="11.42578125" style="105" customWidth="1"/>
    <col min="7468" max="7468" width="10.5703125" style="105" customWidth="1"/>
    <col min="7469" max="7469" width="10.42578125" style="105" customWidth="1"/>
    <col min="7470" max="7470" width="11.42578125" style="105" customWidth="1"/>
    <col min="7471" max="7471" width="11.5703125" style="105" customWidth="1"/>
    <col min="7472" max="7473" width="11.42578125" style="105" customWidth="1"/>
    <col min="7474" max="7474" width="11.140625" style="105" customWidth="1"/>
    <col min="7475" max="7476" width="17.7109375" style="105" customWidth="1"/>
    <col min="7477" max="7477" width="22.5703125" style="105" customWidth="1"/>
    <col min="7478" max="7679" width="11.42578125" style="105"/>
    <col min="7680" max="7680" width="15.42578125" style="105" bestFit="1" customWidth="1"/>
    <col min="7681" max="7681" width="19.140625" style="105" bestFit="1" customWidth="1"/>
    <col min="7682" max="7682" width="11.42578125" style="105"/>
    <col min="7683" max="7683" width="12.140625" style="105" bestFit="1" customWidth="1"/>
    <col min="7684" max="7684" width="16.85546875" style="105" bestFit="1" customWidth="1"/>
    <col min="7685" max="7685" width="8.7109375" style="105" bestFit="1" customWidth="1"/>
    <col min="7686" max="7686" width="11.42578125" style="105"/>
    <col min="7687" max="7687" width="14.85546875" style="105" customWidth="1"/>
    <col min="7688" max="7688" width="12" style="105" customWidth="1"/>
    <col min="7689" max="7689" width="17.85546875" style="105" customWidth="1"/>
    <col min="7690" max="7690" width="24" style="105" customWidth="1"/>
    <col min="7691" max="7691" width="27.5703125" style="105" customWidth="1"/>
    <col min="7692" max="7692" width="20.140625" style="105" customWidth="1"/>
    <col min="7693" max="7693" width="20" style="105" customWidth="1"/>
    <col min="7694" max="7694" width="10.5703125" style="105" customWidth="1"/>
    <col min="7695" max="7695" width="20.140625" style="105" customWidth="1"/>
    <col min="7696" max="7696" width="11.42578125" style="105" customWidth="1"/>
    <col min="7697" max="7697" width="19.42578125" style="105" customWidth="1"/>
    <col min="7698" max="7699" width="11.42578125" style="105" customWidth="1"/>
    <col min="7700" max="7700" width="11.140625" style="105" customWidth="1"/>
    <col min="7701" max="7701" width="10.42578125" style="105" customWidth="1"/>
    <col min="7702" max="7702" width="10.28515625" style="105" customWidth="1"/>
    <col min="7703" max="7703" width="11.42578125" style="105" customWidth="1"/>
    <col min="7704" max="7704" width="10.5703125" style="105" customWidth="1"/>
    <col min="7705" max="7705" width="10.42578125" style="105" customWidth="1"/>
    <col min="7706" max="7706" width="11.42578125" style="105" customWidth="1"/>
    <col min="7707" max="7707" width="11.5703125" style="105" customWidth="1"/>
    <col min="7708" max="7709" width="11.42578125" style="105" customWidth="1"/>
    <col min="7710" max="7710" width="11.140625" style="105" customWidth="1"/>
    <col min="7711" max="7711" width="10.42578125" style="105" customWidth="1"/>
    <col min="7712" max="7712" width="10.28515625" style="105" customWidth="1"/>
    <col min="7713" max="7713" width="11.42578125" style="105" customWidth="1"/>
    <col min="7714" max="7714" width="10.5703125" style="105" customWidth="1"/>
    <col min="7715" max="7715" width="10.42578125" style="105" customWidth="1"/>
    <col min="7716" max="7716" width="11.42578125" style="105" customWidth="1"/>
    <col min="7717" max="7717" width="11.5703125" style="105" customWidth="1"/>
    <col min="7718" max="7719" width="11.42578125" style="105" customWidth="1"/>
    <col min="7720" max="7720" width="11.140625" style="105" customWidth="1"/>
    <col min="7721" max="7721" width="10.42578125" style="105" customWidth="1"/>
    <col min="7722" max="7722" width="10.28515625" style="105" customWidth="1"/>
    <col min="7723" max="7723" width="11.42578125" style="105" customWidth="1"/>
    <col min="7724" max="7724" width="10.5703125" style="105" customWidth="1"/>
    <col min="7725" max="7725" width="10.42578125" style="105" customWidth="1"/>
    <col min="7726" max="7726" width="11.42578125" style="105" customWidth="1"/>
    <col min="7727" max="7727" width="11.5703125" style="105" customWidth="1"/>
    <col min="7728" max="7729" width="11.42578125" style="105" customWidth="1"/>
    <col min="7730" max="7730" width="11.140625" style="105" customWidth="1"/>
    <col min="7731" max="7732" width="17.7109375" style="105" customWidth="1"/>
    <col min="7733" max="7733" width="22.5703125" style="105" customWidth="1"/>
    <col min="7734" max="7935" width="11.42578125" style="105"/>
    <col min="7936" max="7936" width="15.42578125" style="105" bestFit="1" customWidth="1"/>
    <col min="7937" max="7937" width="19.140625" style="105" bestFit="1" customWidth="1"/>
    <col min="7938" max="7938" width="11.42578125" style="105"/>
    <col min="7939" max="7939" width="12.140625" style="105" bestFit="1" customWidth="1"/>
    <col min="7940" max="7940" width="16.85546875" style="105" bestFit="1" customWidth="1"/>
    <col min="7941" max="7941" width="8.7109375" style="105" bestFit="1" customWidth="1"/>
    <col min="7942" max="7942" width="11.42578125" style="105"/>
    <col min="7943" max="7943" width="14.85546875" style="105" customWidth="1"/>
    <col min="7944" max="7944" width="12" style="105" customWidth="1"/>
    <col min="7945" max="7945" width="17.85546875" style="105" customWidth="1"/>
    <col min="7946" max="7946" width="24" style="105" customWidth="1"/>
    <col min="7947" max="7947" width="27.5703125" style="105" customWidth="1"/>
    <col min="7948" max="7948" width="20.140625" style="105" customWidth="1"/>
    <col min="7949" max="7949" width="20" style="105" customWidth="1"/>
    <col min="7950" max="7950" width="10.5703125" style="105" customWidth="1"/>
    <col min="7951" max="7951" width="20.140625" style="105" customWidth="1"/>
    <col min="7952" max="7952" width="11.42578125" style="105" customWidth="1"/>
    <col min="7953" max="7953" width="19.42578125" style="105" customWidth="1"/>
    <col min="7954" max="7955" width="11.42578125" style="105" customWidth="1"/>
    <col min="7956" max="7956" width="11.140625" style="105" customWidth="1"/>
    <col min="7957" max="7957" width="10.42578125" style="105" customWidth="1"/>
    <col min="7958" max="7958" width="10.28515625" style="105" customWidth="1"/>
    <col min="7959" max="7959" width="11.42578125" style="105" customWidth="1"/>
    <col min="7960" max="7960" width="10.5703125" style="105" customWidth="1"/>
    <col min="7961" max="7961" width="10.42578125" style="105" customWidth="1"/>
    <col min="7962" max="7962" width="11.42578125" style="105" customWidth="1"/>
    <col min="7963" max="7963" width="11.5703125" style="105" customWidth="1"/>
    <col min="7964" max="7965" width="11.42578125" style="105" customWidth="1"/>
    <col min="7966" max="7966" width="11.140625" style="105" customWidth="1"/>
    <col min="7967" max="7967" width="10.42578125" style="105" customWidth="1"/>
    <col min="7968" max="7968" width="10.28515625" style="105" customWidth="1"/>
    <col min="7969" max="7969" width="11.42578125" style="105" customWidth="1"/>
    <col min="7970" max="7970" width="10.5703125" style="105" customWidth="1"/>
    <col min="7971" max="7971" width="10.42578125" style="105" customWidth="1"/>
    <col min="7972" max="7972" width="11.42578125" style="105" customWidth="1"/>
    <col min="7973" max="7973" width="11.5703125" style="105" customWidth="1"/>
    <col min="7974" max="7975" width="11.42578125" style="105" customWidth="1"/>
    <col min="7976" max="7976" width="11.140625" style="105" customWidth="1"/>
    <col min="7977" max="7977" width="10.42578125" style="105" customWidth="1"/>
    <col min="7978" max="7978" width="10.28515625" style="105" customWidth="1"/>
    <col min="7979" max="7979" width="11.42578125" style="105" customWidth="1"/>
    <col min="7980" max="7980" width="10.5703125" style="105" customWidth="1"/>
    <col min="7981" max="7981" width="10.42578125" style="105" customWidth="1"/>
    <col min="7982" max="7982" width="11.42578125" style="105" customWidth="1"/>
    <col min="7983" max="7983" width="11.5703125" style="105" customWidth="1"/>
    <col min="7984" max="7985" width="11.42578125" style="105" customWidth="1"/>
    <col min="7986" max="7986" width="11.140625" style="105" customWidth="1"/>
    <col min="7987" max="7988" width="17.7109375" style="105" customWidth="1"/>
    <col min="7989" max="7989" width="22.5703125" style="105" customWidth="1"/>
    <col min="7990" max="8191" width="11.42578125" style="105"/>
    <col min="8192" max="8192" width="15.42578125" style="105" bestFit="1" customWidth="1"/>
    <col min="8193" max="8193" width="19.140625" style="105" bestFit="1" customWidth="1"/>
    <col min="8194" max="8194" width="11.42578125" style="105"/>
    <col min="8195" max="8195" width="12.140625" style="105" bestFit="1" customWidth="1"/>
    <col min="8196" max="8196" width="16.85546875" style="105" bestFit="1" customWidth="1"/>
    <col min="8197" max="8197" width="8.7109375" style="105" bestFit="1" customWidth="1"/>
    <col min="8198" max="8198" width="11.42578125" style="105"/>
    <col min="8199" max="8199" width="14.85546875" style="105" customWidth="1"/>
    <col min="8200" max="8200" width="12" style="105" customWidth="1"/>
    <col min="8201" max="8201" width="17.85546875" style="105" customWidth="1"/>
    <col min="8202" max="8202" width="24" style="105" customWidth="1"/>
    <col min="8203" max="8203" width="27.5703125" style="105" customWidth="1"/>
    <col min="8204" max="8204" width="20.140625" style="105" customWidth="1"/>
    <col min="8205" max="8205" width="20" style="105" customWidth="1"/>
    <col min="8206" max="8206" width="10.5703125" style="105" customWidth="1"/>
    <col min="8207" max="8207" width="20.140625" style="105" customWidth="1"/>
    <col min="8208" max="8208" width="11.42578125" style="105" customWidth="1"/>
    <col min="8209" max="8209" width="19.42578125" style="105" customWidth="1"/>
    <col min="8210" max="8211" width="11.42578125" style="105" customWidth="1"/>
    <col min="8212" max="8212" width="11.140625" style="105" customWidth="1"/>
    <col min="8213" max="8213" width="10.42578125" style="105" customWidth="1"/>
    <col min="8214" max="8214" width="10.28515625" style="105" customWidth="1"/>
    <col min="8215" max="8215" width="11.42578125" style="105" customWidth="1"/>
    <col min="8216" max="8216" width="10.5703125" style="105" customWidth="1"/>
    <col min="8217" max="8217" width="10.42578125" style="105" customWidth="1"/>
    <col min="8218" max="8218" width="11.42578125" style="105" customWidth="1"/>
    <col min="8219" max="8219" width="11.5703125" style="105" customWidth="1"/>
    <col min="8220" max="8221" width="11.42578125" style="105" customWidth="1"/>
    <col min="8222" max="8222" width="11.140625" style="105" customWidth="1"/>
    <col min="8223" max="8223" width="10.42578125" style="105" customWidth="1"/>
    <col min="8224" max="8224" width="10.28515625" style="105" customWidth="1"/>
    <col min="8225" max="8225" width="11.42578125" style="105" customWidth="1"/>
    <col min="8226" max="8226" width="10.5703125" style="105" customWidth="1"/>
    <col min="8227" max="8227" width="10.42578125" style="105" customWidth="1"/>
    <col min="8228" max="8228" width="11.42578125" style="105" customWidth="1"/>
    <col min="8229" max="8229" width="11.5703125" style="105" customWidth="1"/>
    <col min="8230" max="8231" width="11.42578125" style="105" customWidth="1"/>
    <col min="8232" max="8232" width="11.140625" style="105" customWidth="1"/>
    <col min="8233" max="8233" width="10.42578125" style="105" customWidth="1"/>
    <col min="8234" max="8234" width="10.28515625" style="105" customWidth="1"/>
    <col min="8235" max="8235" width="11.42578125" style="105" customWidth="1"/>
    <col min="8236" max="8236" width="10.5703125" style="105" customWidth="1"/>
    <col min="8237" max="8237" width="10.42578125" style="105" customWidth="1"/>
    <col min="8238" max="8238" width="11.42578125" style="105" customWidth="1"/>
    <col min="8239" max="8239" width="11.5703125" style="105" customWidth="1"/>
    <col min="8240" max="8241" width="11.42578125" style="105" customWidth="1"/>
    <col min="8242" max="8242" width="11.140625" style="105" customWidth="1"/>
    <col min="8243" max="8244" width="17.7109375" style="105" customWidth="1"/>
    <col min="8245" max="8245" width="22.5703125" style="105" customWidth="1"/>
    <col min="8246" max="8447" width="11.42578125" style="105"/>
    <col min="8448" max="8448" width="15.42578125" style="105" bestFit="1" customWidth="1"/>
    <col min="8449" max="8449" width="19.140625" style="105" bestFit="1" customWidth="1"/>
    <col min="8450" max="8450" width="11.42578125" style="105"/>
    <col min="8451" max="8451" width="12.140625" style="105" bestFit="1" customWidth="1"/>
    <col min="8452" max="8452" width="16.85546875" style="105" bestFit="1" customWidth="1"/>
    <col min="8453" max="8453" width="8.7109375" style="105" bestFit="1" customWidth="1"/>
    <col min="8454" max="8454" width="11.42578125" style="105"/>
    <col min="8455" max="8455" width="14.85546875" style="105" customWidth="1"/>
    <col min="8456" max="8456" width="12" style="105" customWidth="1"/>
    <col min="8457" max="8457" width="17.85546875" style="105" customWidth="1"/>
    <col min="8458" max="8458" width="24" style="105" customWidth="1"/>
    <col min="8459" max="8459" width="27.5703125" style="105" customWidth="1"/>
    <col min="8460" max="8460" width="20.140625" style="105" customWidth="1"/>
    <col min="8461" max="8461" width="20" style="105" customWidth="1"/>
    <col min="8462" max="8462" width="10.5703125" style="105" customWidth="1"/>
    <col min="8463" max="8463" width="20.140625" style="105" customWidth="1"/>
    <col min="8464" max="8464" width="11.42578125" style="105" customWidth="1"/>
    <col min="8465" max="8465" width="19.42578125" style="105" customWidth="1"/>
    <col min="8466" max="8467" width="11.42578125" style="105" customWidth="1"/>
    <col min="8468" max="8468" width="11.140625" style="105" customWidth="1"/>
    <col min="8469" max="8469" width="10.42578125" style="105" customWidth="1"/>
    <col min="8470" max="8470" width="10.28515625" style="105" customWidth="1"/>
    <col min="8471" max="8471" width="11.42578125" style="105" customWidth="1"/>
    <col min="8472" max="8472" width="10.5703125" style="105" customWidth="1"/>
    <col min="8473" max="8473" width="10.42578125" style="105" customWidth="1"/>
    <col min="8474" max="8474" width="11.42578125" style="105" customWidth="1"/>
    <col min="8475" max="8475" width="11.5703125" style="105" customWidth="1"/>
    <col min="8476" max="8477" width="11.42578125" style="105" customWidth="1"/>
    <col min="8478" max="8478" width="11.140625" style="105" customWidth="1"/>
    <col min="8479" max="8479" width="10.42578125" style="105" customWidth="1"/>
    <col min="8480" max="8480" width="10.28515625" style="105" customWidth="1"/>
    <col min="8481" max="8481" width="11.42578125" style="105" customWidth="1"/>
    <col min="8482" max="8482" width="10.5703125" style="105" customWidth="1"/>
    <col min="8483" max="8483" width="10.42578125" style="105" customWidth="1"/>
    <col min="8484" max="8484" width="11.42578125" style="105" customWidth="1"/>
    <col min="8485" max="8485" width="11.5703125" style="105" customWidth="1"/>
    <col min="8486" max="8487" width="11.42578125" style="105" customWidth="1"/>
    <col min="8488" max="8488" width="11.140625" style="105" customWidth="1"/>
    <col min="8489" max="8489" width="10.42578125" style="105" customWidth="1"/>
    <col min="8490" max="8490" width="10.28515625" style="105" customWidth="1"/>
    <col min="8491" max="8491" width="11.42578125" style="105" customWidth="1"/>
    <col min="8492" max="8492" width="10.5703125" style="105" customWidth="1"/>
    <col min="8493" max="8493" width="10.42578125" style="105" customWidth="1"/>
    <col min="8494" max="8494" width="11.42578125" style="105" customWidth="1"/>
    <col min="8495" max="8495" width="11.5703125" style="105" customWidth="1"/>
    <col min="8496" max="8497" width="11.42578125" style="105" customWidth="1"/>
    <col min="8498" max="8498" width="11.140625" style="105" customWidth="1"/>
    <col min="8499" max="8500" width="17.7109375" style="105" customWidth="1"/>
    <col min="8501" max="8501" width="22.5703125" style="105" customWidth="1"/>
    <col min="8502" max="8703" width="11.42578125" style="105"/>
    <col min="8704" max="8704" width="15.42578125" style="105" bestFit="1" customWidth="1"/>
    <col min="8705" max="8705" width="19.140625" style="105" bestFit="1" customWidth="1"/>
    <col min="8706" max="8706" width="11.42578125" style="105"/>
    <col min="8707" max="8707" width="12.140625" style="105" bestFit="1" customWidth="1"/>
    <col min="8708" max="8708" width="16.85546875" style="105" bestFit="1" customWidth="1"/>
    <col min="8709" max="8709" width="8.7109375" style="105" bestFit="1" customWidth="1"/>
    <col min="8710" max="8710" width="11.42578125" style="105"/>
    <col min="8711" max="8711" width="14.85546875" style="105" customWidth="1"/>
    <col min="8712" max="8712" width="12" style="105" customWidth="1"/>
    <col min="8713" max="8713" width="17.85546875" style="105" customWidth="1"/>
    <col min="8714" max="8714" width="24" style="105" customWidth="1"/>
    <col min="8715" max="8715" width="27.5703125" style="105" customWidth="1"/>
    <col min="8716" max="8716" width="20.140625" style="105" customWidth="1"/>
    <col min="8717" max="8717" width="20" style="105" customWidth="1"/>
    <col min="8718" max="8718" width="10.5703125" style="105" customWidth="1"/>
    <col min="8719" max="8719" width="20.140625" style="105" customWidth="1"/>
    <col min="8720" max="8720" width="11.42578125" style="105" customWidth="1"/>
    <col min="8721" max="8721" width="19.42578125" style="105" customWidth="1"/>
    <col min="8722" max="8723" width="11.42578125" style="105" customWidth="1"/>
    <col min="8724" max="8724" width="11.140625" style="105" customWidth="1"/>
    <col min="8725" max="8725" width="10.42578125" style="105" customWidth="1"/>
    <col min="8726" max="8726" width="10.28515625" style="105" customWidth="1"/>
    <col min="8727" max="8727" width="11.42578125" style="105" customWidth="1"/>
    <col min="8728" max="8728" width="10.5703125" style="105" customWidth="1"/>
    <col min="8729" max="8729" width="10.42578125" style="105" customWidth="1"/>
    <col min="8730" max="8730" width="11.42578125" style="105" customWidth="1"/>
    <col min="8731" max="8731" width="11.5703125" style="105" customWidth="1"/>
    <col min="8732" max="8733" width="11.42578125" style="105" customWidth="1"/>
    <col min="8734" max="8734" width="11.140625" style="105" customWidth="1"/>
    <col min="8735" max="8735" width="10.42578125" style="105" customWidth="1"/>
    <col min="8736" max="8736" width="10.28515625" style="105" customWidth="1"/>
    <col min="8737" max="8737" width="11.42578125" style="105" customWidth="1"/>
    <col min="8738" max="8738" width="10.5703125" style="105" customWidth="1"/>
    <col min="8739" max="8739" width="10.42578125" style="105" customWidth="1"/>
    <col min="8740" max="8740" width="11.42578125" style="105" customWidth="1"/>
    <col min="8741" max="8741" width="11.5703125" style="105" customWidth="1"/>
    <col min="8742" max="8743" width="11.42578125" style="105" customWidth="1"/>
    <col min="8744" max="8744" width="11.140625" style="105" customWidth="1"/>
    <col min="8745" max="8745" width="10.42578125" style="105" customWidth="1"/>
    <col min="8746" max="8746" width="10.28515625" style="105" customWidth="1"/>
    <col min="8747" max="8747" width="11.42578125" style="105" customWidth="1"/>
    <col min="8748" max="8748" width="10.5703125" style="105" customWidth="1"/>
    <col min="8749" max="8749" width="10.42578125" style="105" customWidth="1"/>
    <col min="8750" max="8750" width="11.42578125" style="105" customWidth="1"/>
    <col min="8751" max="8751" width="11.5703125" style="105" customWidth="1"/>
    <col min="8752" max="8753" width="11.42578125" style="105" customWidth="1"/>
    <col min="8754" max="8754" width="11.140625" style="105" customWidth="1"/>
    <col min="8755" max="8756" width="17.7109375" style="105" customWidth="1"/>
    <col min="8757" max="8757" width="22.5703125" style="105" customWidth="1"/>
    <col min="8758" max="8959" width="11.42578125" style="105"/>
    <col min="8960" max="8960" width="15.42578125" style="105" bestFit="1" customWidth="1"/>
    <col min="8961" max="8961" width="19.140625" style="105" bestFit="1" customWidth="1"/>
    <col min="8962" max="8962" width="11.42578125" style="105"/>
    <col min="8963" max="8963" width="12.140625" style="105" bestFit="1" customWidth="1"/>
    <col min="8964" max="8964" width="16.85546875" style="105" bestFit="1" customWidth="1"/>
    <col min="8965" max="8965" width="8.7109375" style="105" bestFit="1" customWidth="1"/>
    <col min="8966" max="8966" width="11.42578125" style="105"/>
    <col min="8967" max="8967" width="14.85546875" style="105" customWidth="1"/>
    <col min="8968" max="8968" width="12" style="105" customWidth="1"/>
    <col min="8969" max="8969" width="17.85546875" style="105" customWidth="1"/>
    <col min="8970" max="8970" width="24" style="105" customWidth="1"/>
    <col min="8971" max="8971" width="27.5703125" style="105" customWidth="1"/>
    <col min="8972" max="8972" width="20.140625" style="105" customWidth="1"/>
    <col min="8973" max="8973" width="20" style="105" customWidth="1"/>
    <col min="8974" max="8974" width="10.5703125" style="105" customWidth="1"/>
    <col min="8975" max="8975" width="20.140625" style="105" customWidth="1"/>
    <col min="8976" max="8976" width="11.42578125" style="105" customWidth="1"/>
    <col min="8977" max="8977" width="19.42578125" style="105" customWidth="1"/>
    <col min="8978" max="8979" width="11.42578125" style="105" customWidth="1"/>
    <col min="8980" max="8980" width="11.140625" style="105" customWidth="1"/>
    <col min="8981" max="8981" width="10.42578125" style="105" customWidth="1"/>
    <col min="8982" max="8982" width="10.28515625" style="105" customWidth="1"/>
    <col min="8983" max="8983" width="11.42578125" style="105" customWidth="1"/>
    <col min="8984" max="8984" width="10.5703125" style="105" customWidth="1"/>
    <col min="8985" max="8985" width="10.42578125" style="105" customWidth="1"/>
    <col min="8986" max="8986" width="11.42578125" style="105" customWidth="1"/>
    <col min="8987" max="8987" width="11.5703125" style="105" customWidth="1"/>
    <col min="8988" max="8989" width="11.42578125" style="105" customWidth="1"/>
    <col min="8990" max="8990" width="11.140625" style="105" customWidth="1"/>
    <col min="8991" max="8991" width="10.42578125" style="105" customWidth="1"/>
    <col min="8992" max="8992" width="10.28515625" style="105" customWidth="1"/>
    <col min="8993" max="8993" width="11.42578125" style="105" customWidth="1"/>
    <col min="8994" max="8994" width="10.5703125" style="105" customWidth="1"/>
    <col min="8995" max="8995" width="10.42578125" style="105" customWidth="1"/>
    <col min="8996" max="8996" width="11.42578125" style="105" customWidth="1"/>
    <col min="8997" max="8997" width="11.5703125" style="105" customWidth="1"/>
    <col min="8998" max="8999" width="11.42578125" style="105" customWidth="1"/>
    <col min="9000" max="9000" width="11.140625" style="105" customWidth="1"/>
    <col min="9001" max="9001" width="10.42578125" style="105" customWidth="1"/>
    <col min="9002" max="9002" width="10.28515625" style="105" customWidth="1"/>
    <col min="9003" max="9003" width="11.42578125" style="105" customWidth="1"/>
    <col min="9004" max="9004" width="10.5703125" style="105" customWidth="1"/>
    <col min="9005" max="9005" width="10.42578125" style="105" customWidth="1"/>
    <col min="9006" max="9006" width="11.42578125" style="105" customWidth="1"/>
    <col min="9007" max="9007" width="11.5703125" style="105" customWidth="1"/>
    <col min="9008" max="9009" width="11.42578125" style="105" customWidth="1"/>
    <col min="9010" max="9010" width="11.140625" style="105" customWidth="1"/>
    <col min="9011" max="9012" width="17.7109375" style="105" customWidth="1"/>
    <col min="9013" max="9013" width="22.5703125" style="105" customWidth="1"/>
    <col min="9014" max="9215" width="11.42578125" style="105"/>
    <col min="9216" max="9216" width="15.42578125" style="105" bestFit="1" customWidth="1"/>
    <col min="9217" max="9217" width="19.140625" style="105" bestFit="1" customWidth="1"/>
    <col min="9218" max="9218" width="11.42578125" style="105"/>
    <col min="9219" max="9219" width="12.140625" style="105" bestFit="1" customWidth="1"/>
    <col min="9220" max="9220" width="16.85546875" style="105" bestFit="1" customWidth="1"/>
    <col min="9221" max="9221" width="8.7109375" style="105" bestFit="1" customWidth="1"/>
    <col min="9222" max="9222" width="11.42578125" style="105"/>
    <col min="9223" max="9223" width="14.85546875" style="105" customWidth="1"/>
    <col min="9224" max="9224" width="12" style="105" customWidth="1"/>
    <col min="9225" max="9225" width="17.85546875" style="105" customWidth="1"/>
    <col min="9226" max="9226" width="24" style="105" customWidth="1"/>
    <col min="9227" max="9227" width="27.5703125" style="105" customWidth="1"/>
    <col min="9228" max="9228" width="20.140625" style="105" customWidth="1"/>
    <col min="9229" max="9229" width="20" style="105" customWidth="1"/>
    <col min="9230" max="9230" width="10.5703125" style="105" customWidth="1"/>
    <col min="9231" max="9231" width="20.140625" style="105" customWidth="1"/>
    <col min="9232" max="9232" width="11.42578125" style="105" customWidth="1"/>
    <col min="9233" max="9233" width="19.42578125" style="105" customWidth="1"/>
    <col min="9234" max="9235" width="11.42578125" style="105" customWidth="1"/>
    <col min="9236" max="9236" width="11.140625" style="105" customWidth="1"/>
    <col min="9237" max="9237" width="10.42578125" style="105" customWidth="1"/>
    <col min="9238" max="9238" width="10.28515625" style="105" customWidth="1"/>
    <col min="9239" max="9239" width="11.42578125" style="105" customWidth="1"/>
    <col min="9240" max="9240" width="10.5703125" style="105" customWidth="1"/>
    <col min="9241" max="9241" width="10.42578125" style="105" customWidth="1"/>
    <col min="9242" max="9242" width="11.42578125" style="105" customWidth="1"/>
    <col min="9243" max="9243" width="11.5703125" style="105" customWidth="1"/>
    <col min="9244" max="9245" width="11.42578125" style="105" customWidth="1"/>
    <col min="9246" max="9246" width="11.140625" style="105" customWidth="1"/>
    <col min="9247" max="9247" width="10.42578125" style="105" customWidth="1"/>
    <col min="9248" max="9248" width="10.28515625" style="105" customWidth="1"/>
    <col min="9249" max="9249" width="11.42578125" style="105" customWidth="1"/>
    <col min="9250" max="9250" width="10.5703125" style="105" customWidth="1"/>
    <col min="9251" max="9251" width="10.42578125" style="105" customWidth="1"/>
    <col min="9252" max="9252" width="11.42578125" style="105" customWidth="1"/>
    <col min="9253" max="9253" width="11.5703125" style="105" customWidth="1"/>
    <col min="9254" max="9255" width="11.42578125" style="105" customWidth="1"/>
    <col min="9256" max="9256" width="11.140625" style="105" customWidth="1"/>
    <col min="9257" max="9257" width="10.42578125" style="105" customWidth="1"/>
    <col min="9258" max="9258" width="10.28515625" style="105" customWidth="1"/>
    <col min="9259" max="9259" width="11.42578125" style="105" customWidth="1"/>
    <col min="9260" max="9260" width="10.5703125" style="105" customWidth="1"/>
    <col min="9261" max="9261" width="10.42578125" style="105" customWidth="1"/>
    <col min="9262" max="9262" width="11.42578125" style="105" customWidth="1"/>
    <col min="9263" max="9263" width="11.5703125" style="105" customWidth="1"/>
    <col min="9264" max="9265" width="11.42578125" style="105" customWidth="1"/>
    <col min="9266" max="9266" width="11.140625" style="105" customWidth="1"/>
    <col min="9267" max="9268" width="17.7109375" style="105" customWidth="1"/>
    <col min="9269" max="9269" width="22.5703125" style="105" customWidth="1"/>
    <col min="9270" max="9471" width="11.42578125" style="105"/>
    <col min="9472" max="9472" width="15.42578125" style="105" bestFit="1" customWidth="1"/>
    <col min="9473" max="9473" width="19.140625" style="105" bestFit="1" customWidth="1"/>
    <col min="9474" max="9474" width="11.42578125" style="105"/>
    <col min="9475" max="9475" width="12.140625" style="105" bestFit="1" customWidth="1"/>
    <col min="9476" max="9476" width="16.85546875" style="105" bestFit="1" customWidth="1"/>
    <col min="9477" max="9477" width="8.7109375" style="105" bestFit="1" customWidth="1"/>
    <col min="9478" max="9478" width="11.42578125" style="105"/>
    <col min="9479" max="9479" width="14.85546875" style="105" customWidth="1"/>
    <col min="9480" max="9480" width="12" style="105" customWidth="1"/>
    <col min="9481" max="9481" width="17.85546875" style="105" customWidth="1"/>
    <col min="9482" max="9482" width="24" style="105" customWidth="1"/>
    <col min="9483" max="9483" width="27.5703125" style="105" customWidth="1"/>
    <col min="9484" max="9484" width="20.140625" style="105" customWidth="1"/>
    <col min="9485" max="9485" width="20" style="105" customWidth="1"/>
    <col min="9486" max="9486" width="10.5703125" style="105" customWidth="1"/>
    <col min="9487" max="9487" width="20.140625" style="105" customWidth="1"/>
    <col min="9488" max="9488" width="11.42578125" style="105" customWidth="1"/>
    <col min="9489" max="9489" width="19.42578125" style="105" customWidth="1"/>
    <col min="9490" max="9491" width="11.42578125" style="105" customWidth="1"/>
    <col min="9492" max="9492" width="11.140625" style="105" customWidth="1"/>
    <col min="9493" max="9493" width="10.42578125" style="105" customWidth="1"/>
    <col min="9494" max="9494" width="10.28515625" style="105" customWidth="1"/>
    <col min="9495" max="9495" width="11.42578125" style="105" customWidth="1"/>
    <col min="9496" max="9496" width="10.5703125" style="105" customWidth="1"/>
    <col min="9497" max="9497" width="10.42578125" style="105" customWidth="1"/>
    <col min="9498" max="9498" width="11.42578125" style="105" customWidth="1"/>
    <col min="9499" max="9499" width="11.5703125" style="105" customWidth="1"/>
    <col min="9500" max="9501" width="11.42578125" style="105" customWidth="1"/>
    <col min="9502" max="9502" width="11.140625" style="105" customWidth="1"/>
    <col min="9503" max="9503" width="10.42578125" style="105" customWidth="1"/>
    <col min="9504" max="9504" width="10.28515625" style="105" customWidth="1"/>
    <col min="9505" max="9505" width="11.42578125" style="105" customWidth="1"/>
    <col min="9506" max="9506" width="10.5703125" style="105" customWidth="1"/>
    <col min="9507" max="9507" width="10.42578125" style="105" customWidth="1"/>
    <col min="9508" max="9508" width="11.42578125" style="105" customWidth="1"/>
    <col min="9509" max="9509" width="11.5703125" style="105" customWidth="1"/>
    <col min="9510" max="9511" width="11.42578125" style="105" customWidth="1"/>
    <col min="9512" max="9512" width="11.140625" style="105" customWidth="1"/>
    <col min="9513" max="9513" width="10.42578125" style="105" customWidth="1"/>
    <col min="9514" max="9514" width="10.28515625" style="105" customWidth="1"/>
    <col min="9515" max="9515" width="11.42578125" style="105" customWidth="1"/>
    <col min="9516" max="9516" width="10.5703125" style="105" customWidth="1"/>
    <col min="9517" max="9517" width="10.42578125" style="105" customWidth="1"/>
    <col min="9518" max="9518" width="11.42578125" style="105" customWidth="1"/>
    <col min="9519" max="9519" width="11.5703125" style="105" customWidth="1"/>
    <col min="9520" max="9521" width="11.42578125" style="105" customWidth="1"/>
    <col min="9522" max="9522" width="11.140625" style="105" customWidth="1"/>
    <col min="9523" max="9524" width="17.7109375" style="105" customWidth="1"/>
    <col min="9525" max="9525" width="22.5703125" style="105" customWidth="1"/>
    <col min="9526" max="9727" width="11.42578125" style="105"/>
    <col min="9728" max="9728" width="15.42578125" style="105" bestFit="1" customWidth="1"/>
    <col min="9729" max="9729" width="19.140625" style="105" bestFit="1" customWidth="1"/>
    <col min="9730" max="9730" width="11.42578125" style="105"/>
    <col min="9731" max="9731" width="12.140625" style="105" bestFit="1" customWidth="1"/>
    <col min="9732" max="9732" width="16.85546875" style="105" bestFit="1" customWidth="1"/>
    <col min="9733" max="9733" width="8.7109375" style="105" bestFit="1" customWidth="1"/>
    <col min="9734" max="9734" width="11.42578125" style="105"/>
    <col min="9735" max="9735" width="14.85546875" style="105" customWidth="1"/>
    <col min="9736" max="9736" width="12" style="105" customWidth="1"/>
    <col min="9737" max="9737" width="17.85546875" style="105" customWidth="1"/>
    <col min="9738" max="9738" width="24" style="105" customWidth="1"/>
    <col min="9739" max="9739" width="27.5703125" style="105" customWidth="1"/>
    <col min="9740" max="9740" width="20.140625" style="105" customWidth="1"/>
    <col min="9741" max="9741" width="20" style="105" customWidth="1"/>
    <col min="9742" max="9742" width="10.5703125" style="105" customWidth="1"/>
    <col min="9743" max="9743" width="20.140625" style="105" customWidth="1"/>
    <col min="9744" max="9744" width="11.42578125" style="105" customWidth="1"/>
    <col min="9745" max="9745" width="19.42578125" style="105" customWidth="1"/>
    <col min="9746" max="9747" width="11.42578125" style="105" customWidth="1"/>
    <col min="9748" max="9748" width="11.140625" style="105" customWidth="1"/>
    <col min="9749" max="9749" width="10.42578125" style="105" customWidth="1"/>
    <col min="9750" max="9750" width="10.28515625" style="105" customWidth="1"/>
    <col min="9751" max="9751" width="11.42578125" style="105" customWidth="1"/>
    <col min="9752" max="9752" width="10.5703125" style="105" customWidth="1"/>
    <col min="9753" max="9753" width="10.42578125" style="105" customWidth="1"/>
    <col min="9754" max="9754" width="11.42578125" style="105" customWidth="1"/>
    <col min="9755" max="9755" width="11.5703125" style="105" customWidth="1"/>
    <col min="9756" max="9757" width="11.42578125" style="105" customWidth="1"/>
    <col min="9758" max="9758" width="11.140625" style="105" customWidth="1"/>
    <col min="9759" max="9759" width="10.42578125" style="105" customWidth="1"/>
    <col min="9760" max="9760" width="10.28515625" style="105" customWidth="1"/>
    <col min="9761" max="9761" width="11.42578125" style="105" customWidth="1"/>
    <col min="9762" max="9762" width="10.5703125" style="105" customWidth="1"/>
    <col min="9763" max="9763" width="10.42578125" style="105" customWidth="1"/>
    <col min="9764" max="9764" width="11.42578125" style="105" customWidth="1"/>
    <col min="9765" max="9765" width="11.5703125" style="105" customWidth="1"/>
    <col min="9766" max="9767" width="11.42578125" style="105" customWidth="1"/>
    <col min="9768" max="9768" width="11.140625" style="105" customWidth="1"/>
    <col min="9769" max="9769" width="10.42578125" style="105" customWidth="1"/>
    <col min="9770" max="9770" width="10.28515625" style="105" customWidth="1"/>
    <col min="9771" max="9771" width="11.42578125" style="105" customWidth="1"/>
    <col min="9772" max="9772" width="10.5703125" style="105" customWidth="1"/>
    <col min="9773" max="9773" width="10.42578125" style="105" customWidth="1"/>
    <col min="9774" max="9774" width="11.42578125" style="105" customWidth="1"/>
    <col min="9775" max="9775" width="11.5703125" style="105" customWidth="1"/>
    <col min="9776" max="9777" width="11.42578125" style="105" customWidth="1"/>
    <col min="9778" max="9778" width="11.140625" style="105" customWidth="1"/>
    <col min="9779" max="9780" width="17.7109375" style="105" customWidth="1"/>
    <col min="9781" max="9781" width="22.5703125" style="105" customWidth="1"/>
    <col min="9782" max="9983" width="11.42578125" style="105"/>
    <col min="9984" max="9984" width="15.42578125" style="105" bestFit="1" customWidth="1"/>
    <col min="9985" max="9985" width="19.140625" style="105" bestFit="1" customWidth="1"/>
    <col min="9986" max="9986" width="11.42578125" style="105"/>
    <col min="9987" max="9987" width="12.140625" style="105" bestFit="1" customWidth="1"/>
    <col min="9988" max="9988" width="16.85546875" style="105" bestFit="1" customWidth="1"/>
    <col min="9989" max="9989" width="8.7109375" style="105" bestFit="1" customWidth="1"/>
    <col min="9990" max="9990" width="11.42578125" style="105"/>
    <col min="9991" max="9991" width="14.85546875" style="105" customWidth="1"/>
    <col min="9992" max="9992" width="12" style="105" customWidth="1"/>
    <col min="9993" max="9993" width="17.85546875" style="105" customWidth="1"/>
    <col min="9994" max="9994" width="24" style="105" customWidth="1"/>
    <col min="9995" max="9995" width="27.5703125" style="105" customWidth="1"/>
    <col min="9996" max="9996" width="20.140625" style="105" customWidth="1"/>
    <col min="9997" max="9997" width="20" style="105" customWidth="1"/>
    <col min="9998" max="9998" width="10.5703125" style="105" customWidth="1"/>
    <col min="9999" max="9999" width="20.140625" style="105" customWidth="1"/>
    <col min="10000" max="10000" width="11.42578125" style="105" customWidth="1"/>
    <col min="10001" max="10001" width="19.42578125" style="105" customWidth="1"/>
    <col min="10002" max="10003" width="11.42578125" style="105" customWidth="1"/>
    <col min="10004" max="10004" width="11.140625" style="105" customWidth="1"/>
    <col min="10005" max="10005" width="10.42578125" style="105" customWidth="1"/>
    <col min="10006" max="10006" width="10.28515625" style="105" customWidth="1"/>
    <col min="10007" max="10007" width="11.42578125" style="105" customWidth="1"/>
    <col min="10008" max="10008" width="10.5703125" style="105" customWidth="1"/>
    <col min="10009" max="10009" width="10.42578125" style="105" customWidth="1"/>
    <col min="10010" max="10010" width="11.42578125" style="105" customWidth="1"/>
    <col min="10011" max="10011" width="11.5703125" style="105" customWidth="1"/>
    <col min="10012" max="10013" width="11.42578125" style="105" customWidth="1"/>
    <col min="10014" max="10014" width="11.140625" style="105" customWidth="1"/>
    <col min="10015" max="10015" width="10.42578125" style="105" customWidth="1"/>
    <col min="10016" max="10016" width="10.28515625" style="105" customWidth="1"/>
    <col min="10017" max="10017" width="11.42578125" style="105" customWidth="1"/>
    <col min="10018" max="10018" width="10.5703125" style="105" customWidth="1"/>
    <col min="10019" max="10019" width="10.42578125" style="105" customWidth="1"/>
    <col min="10020" max="10020" width="11.42578125" style="105" customWidth="1"/>
    <col min="10021" max="10021" width="11.5703125" style="105" customWidth="1"/>
    <col min="10022" max="10023" width="11.42578125" style="105" customWidth="1"/>
    <col min="10024" max="10024" width="11.140625" style="105" customWidth="1"/>
    <col min="10025" max="10025" width="10.42578125" style="105" customWidth="1"/>
    <col min="10026" max="10026" width="10.28515625" style="105" customWidth="1"/>
    <col min="10027" max="10027" width="11.42578125" style="105" customWidth="1"/>
    <col min="10028" max="10028" width="10.5703125" style="105" customWidth="1"/>
    <col min="10029" max="10029" width="10.42578125" style="105" customWidth="1"/>
    <col min="10030" max="10030" width="11.42578125" style="105" customWidth="1"/>
    <col min="10031" max="10031" width="11.5703125" style="105" customWidth="1"/>
    <col min="10032" max="10033" width="11.42578125" style="105" customWidth="1"/>
    <col min="10034" max="10034" width="11.140625" style="105" customWidth="1"/>
    <col min="10035" max="10036" width="17.7109375" style="105" customWidth="1"/>
    <col min="10037" max="10037" width="22.5703125" style="105" customWidth="1"/>
    <col min="10038" max="10239" width="11.42578125" style="105"/>
    <col min="10240" max="10240" width="15.42578125" style="105" bestFit="1" customWidth="1"/>
    <col min="10241" max="10241" width="19.140625" style="105" bestFit="1" customWidth="1"/>
    <col min="10242" max="10242" width="11.42578125" style="105"/>
    <col min="10243" max="10243" width="12.140625" style="105" bestFit="1" customWidth="1"/>
    <col min="10244" max="10244" width="16.85546875" style="105" bestFit="1" customWidth="1"/>
    <col min="10245" max="10245" width="8.7109375" style="105" bestFit="1" customWidth="1"/>
    <col min="10246" max="10246" width="11.42578125" style="105"/>
    <col min="10247" max="10247" width="14.85546875" style="105" customWidth="1"/>
    <col min="10248" max="10248" width="12" style="105" customWidth="1"/>
    <col min="10249" max="10249" width="17.85546875" style="105" customWidth="1"/>
    <col min="10250" max="10250" width="24" style="105" customWidth="1"/>
    <col min="10251" max="10251" width="27.5703125" style="105" customWidth="1"/>
    <col min="10252" max="10252" width="20.140625" style="105" customWidth="1"/>
    <col min="10253" max="10253" width="20" style="105" customWidth="1"/>
    <col min="10254" max="10254" width="10.5703125" style="105" customWidth="1"/>
    <col min="10255" max="10255" width="20.140625" style="105" customWidth="1"/>
    <col min="10256" max="10256" width="11.42578125" style="105" customWidth="1"/>
    <col min="10257" max="10257" width="19.42578125" style="105" customWidth="1"/>
    <col min="10258" max="10259" width="11.42578125" style="105" customWidth="1"/>
    <col min="10260" max="10260" width="11.140625" style="105" customWidth="1"/>
    <col min="10261" max="10261" width="10.42578125" style="105" customWidth="1"/>
    <col min="10262" max="10262" width="10.28515625" style="105" customWidth="1"/>
    <col min="10263" max="10263" width="11.42578125" style="105" customWidth="1"/>
    <col min="10264" max="10264" width="10.5703125" style="105" customWidth="1"/>
    <col min="10265" max="10265" width="10.42578125" style="105" customWidth="1"/>
    <col min="10266" max="10266" width="11.42578125" style="105" customWidth="1"/>
    <col min="10267" max="10267" width="11.5703125" style="105" customWidth="1"/>
    <col min="10268" max="10269" width="11.42578125" style="105" customWidth="1"/>
    <col min="10270" max="10270" width="11.140625" style="105" customWidth="1"/>
    <col min="10271" max="10271" width="10.42578125" style="105" customWidth="1"/>
    <col min="10272" max="10272" width="10.28515625" style="105" customWidth="1"/>
    <col min="10273" max="10273" width="11.42578125" style="105" customWidth="1"/>
    <col min="10274" max="10274" width="10.5703125" style="105" customWidth="1"/>
    <col min="10275" max="10275" width="10.42578125" style="105" customWidth="1"/>
    <col min="10276" max="10276" width="11.42578125" style="105" customWidth="1"/>
    <col min="10277" max="10277" width="11.5703125" style="105" customWidth="1"/>
    <col min="10278" max="10279" width="11.42578125" style="105" customWidth="1"/>
    <col min="10280" max="10280" width="11.140625" style="105" customWidth="1"/>
    <col min="10281" max="10281" width="10.42578125" style="105" customWidth="1"/>
    <col min="10282" max="10282" width="10.28515625" style="105" customWidth="1"/>
    <col min="10283" max="10283" width="11.42578125" style="105" customWidth="1"/>
    <col min="10284" max="10284" width="10.5703125" style="105" customWidth="1"/>
    <col min="10285" max="10285" width="10.42578125" style="105" customWidth="1"/>
    <col min="10286" max="10286" width="11.42578125" style="105" customWidth="1"/>
    <col min="10287" max="10287" width="11.5703125" style="105" customWidth="1"/>
    <col min="10288" max="10289" width="11.42578125" style="105" customWidth="1"/>
    <col min="10290" max="10290" width="11.140625" style="105" customWidth="1"/>
    <col min="10291" max="10292" width="17.7109375" style="105" customWidth="1"/>
    <col min="10293" max="10293" width="22.5703125" style="105" customWidth="1"/>
    <col min="10294" max="10495" width="11.42578125" style="105"/>
    <col min="10496" max="10496" width="15.42578125" style="105" bestFit="1" customWidth="1"/>
    <col min="10497" max="10497" width="19.140625" style="105" bestFit="1" customWidth="1"/>
    <col min="10498" max="10498" width="11.42578125" style="105"/>
    <col min="10499" max="10499" width="12.140625" style="105" bestFit="1" customWidth="1"/>
    <col min="10500" max="10500" width="16.85546875" style="105" bestFit="1" customWidth="1"/>
    <col min="10501" max="10501" width="8.7109375" style="105" bestFit="1" customWidth="1"/>
    <col min="10502" max="10502" width="11.42578125" style="105"/>
    <col min="10503" max="10503" width="14.85546875" style="105" customWidth="1"/>
    <col min="10504" max="10504" width="12" style="105" customWidth="1"/>
    <col min="10505" max="10505" width="17.85546875" style="105" customWidth="1"/>
    <col min="10506" max="10506" width="24" style="105" customWidth="1"/>
    <col min="10507" max="10507" width="27.5703125" style="105" customWidth="1"/>
    <col min="10508" max="10508" width="20.140625" style="105" customWidth="1"/>
    <col min="10509" max="10509" width="20" style="105" customWidth="1"/>
    <col min="10510" max="10510" width="10.5703125" style="105" customWidth="1"/>
    <col min="10511" max="10511" width="20.140625" style="105" customWidth="1"/>
    <col min="10512" max="10512" width="11.42578125" style="105" customWidth="1"/>
    <col min="10513" max="10513" width="19.42578125" style="105" customWidth="1"/>
    <col min="10514" max="10515" width="11.42578125" style="105" customWidth="1"/>
    <col min="10516" max="10516" width="11.140625" style="105" customWidth="1"/>
    <col min="10517" max="10517" width="10.42578125" style="105" customWidth="1"/>
    <col min="10518" max="10518" width="10.28515625" style="105" customWidth="1"/>
    <col min="10519" max="10519" width="11.42578125" style="105" customWidth="1"/>
    <col min="10520" max="10520" width="10.5703125" style="105" customWidth="1"/>
    <col min="10521" max="10521" width="10.42578125" style="105" customWidth="1"/>
    <col min="10522" max="10522" width="11.42578125" style="105" customWidth="1"/>
    <col min="10523" max="10523" width="11.5703125" style="105" customWidth="1"/>
    <col min="10524" max="10525" width="11.42578125" style="105" customWidth="1"/>
    <col min="10526" max="10526" width="11.140625" style="105" customWidth="1"/>
    <col min="10527" max="10527" width="10.42578125" style="105" customWidth="1"/>
    <col min="10528" max="10528" width="10.28515625" style="105" customWidth="1"/>
    <col min="10529" max="10529" width="11.42578125" style="105" customWidth="1"/>
    <col min="10530" max="10530" width="10.5703125" style="105" customWidth="1"/>
    <col min="10531" max="10531" width="10.42578125" style="105" customWidth="1"/>
    <col min="10532" max="10532" width="11.42578125" style="105" customWidth="1"/>
    <col min="10533" max="10533" width="11.5703125" style="105" customWidth="1"/>
    <col min="10534" max="10535" width="11.42578125" style="105" customWidth="1"/>
    <col min="10536" max="10536" width="11.140625" style="105" customWidth="1"/>
    <col min="10537" max="10537" width="10.42578125" style="105" customWidth="1"/>
    <col min="10538" max="10538" width="10.28515625" style="105" customWidth="1"/>
    <col min="10539" max="10539" width="11.42578125" style="105" customWidth="1"/>
    <col min="10540" max="10540" width="10.5703125" style="105" customWidth="1"/>
    <col min="10541" max="10541" width="10.42578125" style="105" customWidth="1"/>
    <col min="10542" max="10542" width="11.42578125" style="105" customWidth="1"/>
    <col min="10543" max="10543" width="11.5703125" style="105" customWidth="1"/>
    <col min="10544" max="10545" width="11.42578125" style="105" customWidth="1"/>
    <col min="10546" max="10546" width="11.140625" style="105" customWidth="1"/>
    <col min="10547" max="10548" width="17.7109375" style="105" customWidth="1"/>
    <col min="10549" max="10549" width="22.5703125" style="105" customWidth="1"/>
    <col min="10550" max="10751" width="11.42578125" style="105"/>
    <col min="10752" max="10752" width="15.42578125" style="105" bestFit="1" customWidth="1"/>
    <col min="10753" max="10753" width="19.140625" style="105" bestFit="1" customWidth="1"/>
    <col min="10754" max="10754" width="11.42578125" style="105"/>
    <col min="10755" max="10755" width="12.140625" style="105" bestFit="1" customWidth="1"/>
    <col min="10756" max="10756" width="16.85546875" style="105" bestFit="1" customWidth="1"/>
    <col min="10757" max="10757" width="8.7109375" style="105" bestFit="1" customWidth="1"/>
    <col min="10758" max="10758" width="11.42578125" style="105"/>
    <col min="10759" max="10759" width="14.85546875" style="105" customWidth="1"/>
    <col min="10760" max="10760" width="12" style="105" customWidth="1"/>
    <col min="10761" max="10761" width="17.85546875" style="105" customWidth="1"/>
    <col min="10762" max="10762" width="24" style="105" customWidth="1"/>
    <col min="10763" max="10763" width="27.5703125" style="105" customWidth="1"/>
    <col min="10764" max="10764" width="20.140625" style="105" customWidth="1"/>
    <col min="10765" max="10765" width="20" style="105" customWidth="1"/>
    <col min="10766" max="10766" width="10.5703125" style="105" customWidth="1"/>
    <col min="10767" max="10767" width="20.140625" style="105" customWidth="1"/>
    <col min="10768" max="10768" width="11.42578125" style="105" customWidth="1"/>
    <col min="10769" max="10769" width="19.42578125" style="105" customWidth="1"/>
    <col min="10770" max="10771" width="11.42578125" style="105" customWidth="1"/>
    <col min="10772" max="10772" width="11.140625" style="105" customWidth="1"/>
    <col min="10773" max="10773" width="10.42578125" style="105" customWidth="1"/>
    <col min="10774" max="10774" width="10.28515625" style="105" customWidth="1"/>
    <col min="10775" max="10775" width="11.42578125" style="105" customWidth="1"/>
    <col min="10776" max="10776" width="10.5703125" style="105" customWidth="1"/>
    <col min="10777" max="10777" width="10.42578125" style="105" customWidth="1"/>
    <col min="10778" max="10778" width="11.42578125" style="105" customWidth="1"/>
    <col min="10779" max="10779" width="11.5703125" style="105" customWidth="1"/>
    <col min="10780" max="10781" width="11.42578125" style="105" customWidth="1"/>
    <col min="10782" max="10782" width="11.140625" style="105" customWidth="1"/>
    <col min="10783" max="10783" width="10.42578125" style="105" customWidth="1"/>
    <col min="10784" max="10784" width="10.28515625" style="105" customWidth="1"/>
    <col min="10785" max="10785" width="11.42578125" style="105" customWidth="1"/>
    <col min="10786" max="10786" width="10.5703125" style="105" customWidth="1"/>
    <col min="10787" max="10787" width="10.42578125" style="105" customWidth="1"/>
    <col min="10788" max="10788" width="11.42578125" style="105" customWidth="1"/>
    <col min="10789" max="10789" width="11.5703125" style="105" customWidth="1"/>
    <col min="10790" max="10791" width="11.42578125" style="105" customWidth="1"/>
    <col min="10792" max="10792" width="11.140625" style="105" customWidth="1"/>
    <col min="10793" max="10793" width="10.42578125" style="105" customWidth="1"/>
    <col min="10794" max="10794" width="10.28515625" style="105" customWidth="1"/>
    <col min="10795" max="10795" width="11.42578125" style="105" customWidth="1"/>
    <col min="10796" max="10796" width="10.5703125" style="105" customWidth="1"/>
    <col min="10797" max="10797" width="10.42578125" style="105" customWidth="1"/>
    <col min="10798" max="10798" width="11.42578125" style="105" customWidth="1"/>
    <col min="10799" max="10799" width="11.5703125" style="105" customWidth="1"/>
    <col min="10800" max="10801" width="11.42578125" style="105" customWidth="1"/>
    <col min="10802" max="10802" width="11.140625" style="105" customWidth="1"/>
    <col min="10803" max="10804" width="17.7109375" style="105" customWidth="1"/>
    <col min="10805" max="10805" width="22.5703125" style="105" customWidth="1"/>
    <col min="10806" max="11007" width="11.42578125" style="105"/>
    <col min="11008" max="11008" width="15.42578125" style="105" bestFit="1" customWidth="1"/>
    <col min="11009" max="11009" width="19.140625" style="105" bestFit="1" customWidth="1"/>
    <col min="11010" max="11010" width="11.42578125" style="105"/>
    <col min="11011" max="11011" width="12.140625" style="105" bestFit="1" customWidth="1"/>
    <col min="11012" max="11012" width="16.85546875" style="105" bestFit="1" customWidth="1"/>
    <col min="11013" max="11013" width="8.7109375" style="105" bestFit="1" customWidth="1"/>
    <col min="11014" max="11014" width="11.42578125" style="105"/>
    <col min="11015" max="11015" width="14.85546875" style="105" customWidth="1"/>
    <col min="11016" max="11016" width="12" style="105" customWidth="1"/>
    <col min="11017" max="11017" width="17.85546875" style="105" customWidth="1"/>
    <col min="11018" max="11018" width="24" style="105" customWidth="1"/>
    <col min="11019" max="11019" width="27.5703125" style="105" customWidth="1"/>
    <col min="11020" max="11020" width="20.140625" style="105" customWidth="1"/>
    <col min="11021" max="11021" width="20" style="105" customWidth="1"/>
    <col min="11022" max="11022" width="10.5703125" style="105" customWidth="1"/>
    <col min="11023" max="11023" width="20.140625" style="105" customWidth="1"/>
    <col min="11024" max="11024" width="11.42578125" style="105" customWidth="1"/>
    <col min="11025" max="11025" width="19.42578125" style="105" customWidth="1"/>
    <col min="11026" max="11027" width="11.42578125" style="105" customWidth="1"/>
    <col min="11028" max="11028" width="11.140625" style="105" customWidth="1"/>
    <col min="11029" max="11029" width="10.42578125" style="105" customWidth="1"/>
    <col min="11030" max="11030" width="10.28515625" style="105" customWidth="1"/>
    <col min="11031" max="11031" width="11.42578125" style="105" customWidth="1"/>
    <col min="11032" max="11032" width="10.5703125" style="105" customWidth="1"/>
    <col min="11033" max="11033" width="10.42578125" style="105" customWidth="1"/>
    <col min="11034" max="11034" width="11.42578125" style="105" customWidth="1"/>
    <col min="11035" max="11035" width="11.5703125" style="105" customWidth="1"/>
    <col min="11036" max="11037" width="11.42578125" style="105" customWidth="1"/>
    <col min="11038" max="11038" width="11.140625" style="105" customWidth="1"/>
    <col min="11039" max="11039" width="10.42578125" style="105" customWidth="1"/>
    <col min="11040" max="11040" width="10.28515625" style="105" customWidth="1"/>
    <col min="11041" max="11041" width="11.42578125" style="105" customWidth="1"/>
    <col min="11042" max="11042" width="10.5703125" style="105" customWidth="1"/>
    <col min="11043" max="11043" width="10.42578125" style="105" customWidth="1"/>
    <col min="11044" max="11044" width="11.42578125" style="105" customWidth="1"/>
    <col min="11045" max="11045" width="11.5703125" style="105" customWidth="1"/>
    <col min="11046" max="11047" width="11.42578125" style="105" customWidth="1"/>
    <col min="11048" max="11048" width="11.140625" style="105" customWidth="1"/>
    <col min="11049" max="11049" width="10.42578125" style="105" customWidth="1"/>
    <col min="11050" max="11050" width="10.28515625" style="105" customWidth="1"/>
    <col min="11051" max="11051" width="11.42578125" style="105" customWidth="1"/>
    <col min="11052" max="11052" width="10.5703125" style="105" customWidth="1"/>
    <col min="11053" max="11053" width="10.42578125" style="105" customWidth="1"/>
    <col min="11054" max="11054" width="11.42578125" style="105" customWidth="1"/>
    <col min="11055" max="11055" width="11.5703125" style="105" customWidth="1"/>
    <col min="11056" max="11057" width="11.42578125" style="105" customWidth="1"/>
    <col min="11058" max="11058" width="11.140625" style="105" customWidth="1"/>
    <col min="11059" max="11060" width="17.7109375" style="105" customWidth="1"/>
    <col min="11061" max="11061" width="22.5703125" style="105" customWidth="1"/>
    <col min="11062" max="11263" width="11.42578125" style="105"/>
    <col min="11264" max="11264" width="15.42578125" style="105" bestFit="1" customWidth="1"/>
    <col min="11265" max="11265" width="19.140625" style="105" bestFit="1" customWidth="1"/>
    <col min="11266" max="11266" width="11.42578125" style="105"/>
    <col min="11267" max="11267" width="12.140625" style="105" bestFit="1" customWidth="1"/>
    <col min="11268" max="11268" width="16.85546875" style="105" bestFit="1" customWidth="1"/>
    <col min="11269" max="11269" width="8.7109375" style="105" bestFit="1" customWidth="1"/>
    <col min="11270" max="11270" width="11.42578125" style="105"/>
    <col min="11271" max="11271" width="14.85546875" style="105" customWidth="1"/>
    <col min="11272" max="11272" width="12" style="105" customWidth="1"/>
    <col min="11273" max="11273" width="17.85546875" style="105" customWidth="1"/>
    <col min="11274" max="11274" width="24" style="105" customWidth="1"/>
    <col min="11275" max="11275" width="27.5703125" style="105" customWidth="1"/>
    <col min="11276" max="11276" width="20.140625" style="105" customWidth="1"/>
    <col min="11277" max="11277" width="20" style="105" customWidth="1"/>
    <col min="11278" max="11278" width="10.5703125" style="105" customWidth="1"/>
    <col min="11279" max="11279" width="20.140625" style="105" customWidth="1"/>
    <col min="11280" max="11280" width="11.42578125" style="105" customWidth="1"/>
    <col min="11281" max="11281" width="19.42578125" style="105" customWidth="1"/>
    <col min="11282" max="11283" width="11.42578125" style="105" customWidth="1"/>
    <col min="11284" max="11284" width="11.140625" style="105" customWidth="1"/>
    <col min="11285" max="11285" width="10.42578125" style="105" customWidth="1"/>
    <col min="11286" max="11286" width="10.28515625" style="105" customWidth="1"/>
    <col min="11287" max="11287" width="11.42578125" style="105" customWidth="1"/>
    <col min="11288" max="11288" width="10.5703125" style="105" customWidth="1"/>
    <col min="11289" max="11289" width="10.42578125" style="105" customWidth="1"/>
    <col min="11290" max="11290" width="11.42578125" style="105" customWidth="1"/>
    <col min="11291" max="11291" width="11.5703125" style="105" customWidth="1"/>
    <col min="11292" max="11293" width="11.42578125" style="105" customWidth="1"/>
    <col min="11294" max="11294" width="11.140625" style="105" customWidth="1"/>
    <col min="11295" max="11295" width="10.42578125" style="105" customWidth="1"/>
    <col min="11296" max="11296" width="10.28515625" style="105" customWidth="1"/>
    <col min="11297" max="11297" width="11.42578125" style="105" customWidth="1"/>
    <col min="11298" max="11298" width="10.5703125" style="105" customWidth="1"/>
    <col min="11299" max="11299" width="10.42578125" style="105" customWidth="1"/>
    <col min="11300" max="11300" width="11.42578125" style="105" customWidth="1"/>
    <col min="11301" max="11301" width="11.5703125" style="105" customWidth="1"/>
    <col min="11302" max="11303" width="11.42578125" style="105" customWidth="1"/>
    <col min="11304" max="11304" width="11.140625" style="105" customWidth="1"/>
    <col min="11305" max="11305" width="10.42578125" style="105" customWidth="1"/>
    <col min="11306" max="11306" width="10.28515625" style="105" customWidth="1"/>
    <col min="11307" max="11307" width="11.42578125" style="105" customWidth="1"/>
    <col min="11308" max="11308" width="10.5703125" style="105" customWidth="1"/>
    <col min="11309" max="11309" width="10.42578125" style="105" customWidth="1"/>
    <col min="11310" max="11310" width="11.42578125" style="105" customWidth="1"/>
    <col min="11311" max="11311" width="11.5703125" style="105" customWidth="1"/>
    <col min="11312" max="11313" width="11.42578125" style="105" customWidth="1"/>
    <col min="11314" max="11314" width="11.140625" style="105" customWidth="1"/>
    <col min="11315" max="11316" width="17.7109375" style="105" customWidth="1"/>
    <col min="11317" max="11317" width="22.5703125" style="105" customWidth="1"/>
    <col min="11318" max="11519" width="11.42578125" style="105"/>
    <col min="11520" max="11520" width="15.42578125" style="105" bestFit="1" customWidth="1"/>
    <col min="11521" max="11521" width="19.140625" style="105" bestFit="1" customWidth="1"/>
    <col min="11522" max="11522" width="11.42578125" style="105"/>
    <col min="11523" max="11523" width="12.140625" style="105" bestFit="1" customWidth="1"/>
    <col min="11524" max="11524" width="16.85546875" style="105" bestFit="1" customWidth="1"/>
    <col min="11525" max="11525" width="8.7109375" style="105" bestFit="1" customWidth="1"/>
    <col min="11526" max="11526" width="11.42578125" style="105"/>
    <col min="11527" max="11527" width="14.85546875" style="105" customWidth="1"/>
    <col min="11528" max="11528" width="12" style="105" customWidth="1"/>
    <col min="11529" max="11529" width="17.85546875" style="105" customWidth="1"/>
    <col min="11530" max="11530" width="24" style="105" customWidth="1"/>
    <col min="11531" max="11531" width="27.5703125" style="105" customWidth="1"/>
    <col min="11532" max="11532" width="20.140625" style="105" customWidth="1"/>
    <col min="11533" max="11533" width="20" style="105" customWidth="1"/>
    <col min="11534" max="11534" width="10.5703125" style="105" customWidth="1"/>
    <col min="11535" max="11535" width="20.140625" style="105" customWidth="1"/>
    <col min="11536" max="11536" width="11.42578125" style="105" customWidth="1"/>
    <col min="11537" max="11537" width="19.42578125" style="105" customWidth="1"/>
    <col min="11538" max="11539" width="11.42578125" style="105" customWidth="1"/>
    <col min="11540" max="11540" width="11.140625" style="105" customWidth="1"/>
    <col min="11541" max="11541" width="10.42578125" style="105" customWidth="1"/>
    <col min="11542" max="11542" width="10.28515625" style="105" customWidth="1"/>
    <col min="11543" max="11543" width="11.42578125" style="105" customWidth="1"/>
    <col min="11544" max="11544" width="10.5703125" style="105" customWidth="1"/>
    <col min="11545" max="11545" width="10.42578125" style="105" customWidth="1"/>
    <col min="11546" max="11546" width="11.42578125" style="105" customWidth="1"/>
    <col min="11547" max="11547" width="11.5703125" style="105" customWidth="1"/>
    <col min="11548" max="11549" width="11.42578125" style="105" customWidth="1"/>
    <col min="11550" max="11550" width="11.140625" style="105" customWidth="1"/>
    <col min="11551" max="11551" width="10.42578125" style="105" customWidth="1"/>
    <col min="11552" max="11552" width="10.28515625" style="105" customWidth="1"/>
    <col min="11553" max="11553" width="11.42578125" style="105" customWidth="1"/>
    <col min="11554" max="11554" width="10.5703125" style="105" customWidth="1"/>
    <col min="11555" max="11555" width="10.42578125" style="105" customWidth="1"/>
    <col min="11556" max="11556" width="11.42578125" style="105" customWidth="1"/>
    <col min="11557" max="11557" width="11.5703125" style="105" customWidth="1"/>
    <col min="11558" max="11559" width="11.42578125" style="105" customWidth="1"/>
    <col min="11560" max="11560" width="11.140625" style="105" customWidth="1"/>
    <col min="11561" max="11561" width="10.42578125" style="105" customWidth="1"/>
    <col min="11562" max="11562" width="10.28515625" style="105" customWidth="1"/>
    <col min="11563" max="11563" width="11.42578125" style="105" customWidth="1"/>
    <col min="11564" max="11564" width="10.5703125" style="105" customWidth="1"/>
    <col min="11565" max="11565" width="10.42578125" style="105" customWidth="1"/>
    <col min="11566" max="11566" width="11.42578125" style="105" customWidth="1"/>
    <col min="11567" max="11567" width="11.5703125" style="105" customWidth="1"/>
    <col min="11568" max="11569" width="11.42578125" style="105" customWidth="1"/>
    <col min="11570" max="11570" width="11.140625" style="105" customWidth="1"/>
    <col min="11571" max="11572" width="17.7109375" style="105" customWidth="1"/>
    <col min="11573" max="11573" width="22.5703125" style="105" customWidth="1"/>
    <col min="11574" max="11775" width="11.42578125" style="105"/>
    <col min="11776" max="11776" width="15.42578125" style="105" bestFit="1" customWidth="1"/>
    <col min="11777" max="11777" width="19.140625" style="105" bestFit="1" customWidth="1"/>
    <col min="11778" max="11778" width="11.42578125" style="105"/>
    <col min="11779" max="11779" width="12.140625" style="105" bestFit="1" customWidth="1"/>
    <col min="11780" max="11780" width="16.85546875" style="105" bestFit="1" customWidth="1"/>
    <col min="11781" max="11781" width="8.7109375" style="105" bestFit="1" customWidth="1"/>
    <col min="11782" max="11782" width="11.42578125" style="105"/>
    <col min="11783" max="11783" width="14.85546875" style="105" customWidth="1"/>
    <col min="11784" max="11784" width="12" style="105" customWidth="1"/>
    <col min="11785" max="11785" width="17.85546875" style="105" customWidth="1"/>
    <col min="11786" max="11786" width="24" style="105" customWidth="1"/>
    <col min="11787" max="11787" width="27.5703125" style="105" customWidth="1"/>
    <col min="11788" max="11788" width="20.140625" style="105" customWidth="1"/>
    <col min="11789" max="11789" width="20" style="105" customWidth="1"/>
    <col min="11790" max="11790" width="10.5703125" style="105" customWidth="1"/>
    <col min="11791" max="11791" width="20.140625" style="105" customWidth="1"/>
    <col min="11792" max="11792" width="11.42578125" style="105" customWidth="1"/>
    <col min="11793" max="11793" width="19.42578125" style="105" customWidth="1"/>
    <col min="11794" max="11795" width="11.42578125" style="105" customWidth="1"/>
    <col min="11796" max="11796" width="11.140625" style="105" customWidth="1"/>
    <col min="11797" max="11797" width="10.42578125" style="105" customWidth="1"/>
    <col min="11798" max="11798" width="10.28515625" style="105" customWidth="1"/>
    <col min="11799" max="11799" width="11.42578125" style="105" customWidth="1"/>
    <col min="11800" max="11800" width="10.5703125" style="105" customWidth="1"/>
    <col min="11801" max="11801" width="10.42578125" style="105" customWidth="1"/>
    <col min="11802" max="11802" width="11.42578125" style="105" customWidth="1"/>
    <col min="11803" max="11803" width="11.5703125" style="105" customWidth="1"/>
    <col min="11804" max="11805" width="11.42578125" style="105" customWidth="1"/>
    <col min="11806" max="11806" width="11.140625" style="105" customWidth="1"/>
    <col min="11807" max="11807" width="10.42578125" style="105" customWidth="1"/>
    <col min="11808" max="11808" width="10.28515625" style="105" customWidth="1"/>
    <col min="11809" max="11809" width="11.42578125" style="105" customWidth="1"/>
    <col min="11810" max="11810" width="10.5703125" style="105" customWidth="1"/>
    <col min="11811" max="11811" width="10.42578125" style="105" customWidth="1"/>
    <col min="11812" max="11812" width="11.42578125" style="105" customWidth="1"/>
    <col min="11813" max="11813" width="11.5703125" style="105" customWidth="1"/>
    <col min="11814" max="11815" width="11.42578125" style="105" customWidth="1"/>
    <col min="11816" max="11816" width="11.140625" style="105" customWidth="1"/>
    <col min="11817" max="11817" width="10.42578125" style="105" customWidth="1"/>
    <col min="11818" max="11818" width="10.28515625" style="105" customWidth="1"/>
    <col min="11819" max="11819" width="11.42578125" style="105" customWidth="1"/>
    <col min="11820" max="11820" width="10.5703125" style="105" customWidth="1"/>
    <col min="11821" max="11821" width="10.42578125" style="105" customWidth="1"/>
    <col min="11822" max="11822" width="11.42578125" style="105" customWidth="1"/>
    <col min="11823" max="11823" width="11.5703125" style="105" customWidth="1"/>
    <col min="11824" max="11825" width="11.42578125" style="105" customWidth="1"/>
    <col min="11826" max="11826" width="11.140625" style="105" customWidth="1"/>
    <col min="11827" max="11828" width="17.7109375" style="105" customWidth="1"/>
    <col min="11829" max="11829" width="22.5703125" style="105" customWidth="1"/>
    <col min="11830" max="12031" width="11.42578125" style="105"/>
    <col min="12032" max="12032" width="15.42578125" style="105" bestFit="1" customWidth="1"/>
    <col min="12033" max="12033" width="19.140625" style="105" bestFit="1" customWidth="1"/>
    <col min="12034" max="12034" width="11.42578125" style="105"/>
    <col min="12035" max="12035" width="12.140625" style="105" bestFit="1" customWidth="1"/>
    <col min="12036" max="12036" width="16.85546875" style="105" bestFit="1" customWidth="1"/>
    <col min="12037" max="12037" width="8.7109375" style="105" bestFit="1" customWidth="1"/>
    <col min="12038" max="12038" width="11.42578125" style="105"/>
    <col min="12039" max="12039" width="14.85546875" style="105" customWidth="1"/>
    <col min="12040" max="12040" width="12" style="105" customWidth="1"/>
    <col min="12041" max="12041" width="17.85546875" style="105" customWidth="1"/>
    <col min="12042" max="12042" width="24" style="105" customWidth="1"/>
    <col min="12043" max="12043" width="27.5703125" style="105" customWidth="1"/>
    <col min="12044" max="12044" width="20.140625" style="105" customWidth="1"/>
    <col min="12045" max="12045" width="20" style="105" customWidth="1"/>
    <col min="12046" max="12046" width="10.5703125" style="105" customWidth="1"/>
    <col min="12047" max="12047" width="20.140625" style="105" customWidth="1"/>
    <col min="12048" max="12048" width="11.42578125" style="105" customWidth="1"/>
    <col min="12049" max="12049" width="19.42578125" style="105" customWidth="1"/>
    <col min="12050" max="12051" width="11.42578125" style="105" customWidth="1"/>
    <col min="12052" max="12052" width="11.140625" style="105" customWidth="1"/>
    <col min="12053" max="12053" width="10.42578125" style="105" customWidth="1"/>
    <col min="12054" max="12054" width="10.28515625" style="105" customWidth="1"/>
    <col min="12055" max="12055" width="11.42578125" style="105" customWidth="1"/>
    <col min="12056" max="12056" width="10.5703125" style="105" customWidth="1"/>
    <col min="12057" max="12057" width="10.42578125" style="105" customWidth="1"/>
    <col min="12058" max="12058" width="11.42578125" style="105" customWidth="1"/>
    <col min="12059" max="12059" width="11.5703125" style="105" customWidth="1"/>
    <col min="12060" max="12061" width="11.42578125" style="105" customWidth="1"/>
    <col min="12062" max="12062" width="11.140625" style="105" customWidth="1"/>
    <col min="12063" max="12063" width="10.42578125" style="105" customWidth="1"/>
    <col min="12064" max="12064" width="10.28515625" style="105" customWidth="1"/>
    <col min="12065" max="12065" width="11.42578125" style="105" customWidth="1"/>
    <col min="12066" max="12066" width="10.5703125" style="105" customWidth="1"/>
    <col min="12067" max="12067" width="10.42578125" style="105" customWidth="1"/>
    <col min="12068" max="12068" width="11.42578125" style="105" customWidth="1"/>
    <col min="12069" max="12069" width="11.5703125" style="105" customWidth="1"/>
    <col min="12070" max="12071" width="11.42578125" style="105" customWidth="1"/>
    <col min="12072" max="12072" width="11.140625" style="105" customWidth="1"/>
    <col min="12073" max="12073" width="10.42578125" style="105" customWidth="1"/>
    <col min="12074" max="12074" width="10.28515625" style="105" customWidth="1"/>
    <col min="12075" max="12075" width="11.42578125" style="105" customWidth="1"/>
    <col min="12076" max="12076" width="10.5703125" style="105" customWidth="1"/>
    <col min="12077" max="12077" width="10.42578125" style="105" customWidth="1"/>
    <col min="12078" max="12078" width="11.42578125" style="105" customWidth="1"/>
    <col min="12079" max="12079" width="11.5703125" style="105" customWidth="1"/>
    <col min="12080" max="12081" width="11.42578125" style="105" customWidth="1"/>
    <col min="12082" max="12082" width="11.140625" style="105" customWidth="1"/>
    <col min="12083" max="12084" width="17.7109375" style="105" customWidth="1"/>
    <col min="12085" max="12085" width="22.5703125" style="105" customWidth="1"/>
    <col min="12086" max="12287" width="11.42578125" style="105"/>
    <col min="12288" max="12288" width="15.42578125" style="105" bestFit="1" customWidth="1"/>
    <col min="12289" max="12289" width="19.140625" style="105" bestFit="1" customWidth="1"/>
    <col min="12290" max="12290" width="11.42578125" style="105"/>
    <col min="12291" max="12291" width="12.140625" style="105" bestFit="1" customWidth="1"/>
    <col min="12292" max="12292" width="16.85546875" style="105" bestFit="1" customWidth="1"/>
    <col min="12293" max="12293" width="8.7109375" style="105" bestFit="1" customWidth="1"/>
    <col min="12294" max="12294" width="11.42578125" style="105"/>
    <col min="12295" max="12295" width="14.85546875" style="105" customWidth="1"/>
    <col min="12296" max="12296" width="12" style="105" customWidth="1"/>
    <col min="12297" max="12297" width="17.85546875" style="105" customWidth="1"/>
    <col min="12298" max="12298" width="24" style="105" customWidth="1"/>
    <col min="12299" max="12299" width="27.5703125" style="105" customWidth="1"/>
    <col min="12300" max="12300" width="20.140625" style="105" customWidth="1"/>
    <col min="12301" max="12301" width="20" style="105" customWidth="1"/>
    <col min="12302" max="12302" width="10.5703125" style="105" customWidth="1"/>
    <col min="12303" max="12303" width="20.140625" style="105" customWidth="1"/>
    <col min="12304" max="12304" width="11.42578125" style="105" customWidth="1"/>
    <col min="12305" max="12305" width="19.42578125" style="105" customWidth="1"/>
    <col min="12306" max="12307" width="11.42578125" style="105" customWidth="1"/>
    <col min="12308" max="12308" width="11.140625" style="105" customWidth="1"/>
    <col min="12309" max="12309" width="10.42578125" style="105" customWidth="1"/>
    <col min="12310" max="12310" width="10.28515625" style="105" customWidth="1"/>
    <col min="12311" max="12311" width="11.42578125" style="105" customWidth="1"/>
    <col min="12312" max="12312" width="10.5703125" style="105" customWidth="1"/>
    <col min="12313" max="12313" width="10.42578125" style="105" customWidth="1"/>
    <col min="12314" max="12314" width="11.42578125" style="105" customWidth="1"/>
    <col min="12315" max="12315" width="11.5703125" style="105" customWidth="1"/>
    <col min="12316" max="12317" width="11.42578125" style="105" customWidth="1"/>
    <col min="12318" max="12318" width="11.140625" style="105" customWidth="1"/>
    <col min="12319" max="12319" width="10.42578125" style="105" customWidth="1"/>
    <col min="12320" max="12320" width="10.28515625" style="105" customWidth="1"/>
    <col min="12321" max="12321" width="11.42578125" style="105" customWidth="1"/>
    <col min="12322" max="12322" width="10.5703125" style="105" customWidth="1"/>
    <col min="12323" max="12323" width="10.42578125" style="105" customWidth="1"/>
    <col min="12324" max="12324" width="11.42578125" style="105" customWidth="1"/>
    <col min="12325" max="12325" width="11.5703125" style="105" customWidth="1"/>
    <col min="12326" max="12327" width="11.42578125" style="105" customWidth="1"/>
    <col min="12328" max="12328" width="11.140625" style="105" customWidth="1"/>
    <col min="12329" max="12329" width="10.42578125" style="105" customWidth="1"/>
    <col min="12330" max="12330" width="10.28515625" style="105" customWidth="1"/>
    <col min="12331" max="12331" width="11.42578125" style="105" customWidth="1"/>
    <col min="12332" max="12332" width="10.5703125" style="105" customWidth="1"/>
    <col min="12333" max="12333" width="10.42578125" style="105" customWidth="1"/>
    <col min="12334" max="12334" width="11.42578125" style="105" customWidth="1"/>
    <col min="12335" max="12335" width="11.5703125" style="105" customWidth="1"/>
    <col min="12336" max="12337" width="11.42578125" style="105" customWidth="1"/>
    <col min="12338" max="12338" width="11.140625" style="105" customWidth="1"/>
    <col min="12339" max="12340" width="17.7109375" style="105" customWidth="1"/>
    <col min="12341" max="12341" width="22.5703125" style="105" customWidth="1"/>
    <col min="12342" max="12543" width="11.42578125" style="105"/>
    <col min="12544" max="12544" width="15.42578125" style="105" bestFit="1" customWidth="1"/>
    <col min="12545" max="12545" width="19.140625" style="105" bestFit="1" customWidth="1"/>
    <col min="12546" max="12546" width="11.42578125" style="105"/>
    <col min="12547" max="12547" width="12.140625" style="105" bestFit="1" customWidth="1"/>
    <col min="12548" max="12548" width="16.85546875" style="105" bestFit="1" customWidth="1"/>
    <col min="12549" max="12549" width="8.7109375" style="105" bestFit="1" customWidth="1"/>
    <col min="12550" max="12550" width="11.42578125" style="105"/>
    <col min="12551" max="12551" width="14.85546875" style="105" customWidth="1"/>
    <col min="12552" max="12552" width="12" style="105" customWidth="1"/>
    <col min="12553" max="12553" width="17.85546875" style="105" customWidth="1"/>
    <col min="12554" max="12554" width="24" style="105" customWidth="1"/>
    <col min="12555" max="12555" width="27.5703125" style="105" customWidth="1"/>
    <col min="12556" max="12556" width="20.140625" style="105" customWidth="1"/>
    <col min="12557" max="12557" width="20" style="105" customWidth="1"/>
    <col min="12558" max="12558" width="10.5703125" style="105" customWidth="1"/>
    <col min="12559" max="12559" width="20.140625" style="105" customWidth="1"/>
    <col min="12560" max="12560" width="11.42578125" style="105" customWidth="1"/>
    <col min="12561" max="12561" width="19.42578125" style="105" customWidth="1"/>
    <col min="12562" max="12563" width="11.42578125" style="105" customWidth="1"/>
    <col min="12564" max="12564" width="11.140625" style="105" customWidth="1"/>
    <col min="12565" max="12565" width="10.42578125" style="105" customWidth="1"/>
    <col min="12566" max="12566" width="10.28515625" style="105" customWidth="1"/>
    <col min="12567" max="12567" width="11.42578125" style="105" customWidth="1"/>
    <col min="12568" max="12568" width="10.5703125" style="105" customWidth="1"/>
    <col min="12569" max="12569" width="10.42578125" style="105" customWidth="1"/>
    <col min="12570" max="12570" width="11.42578125" style="105" customWidth="1"/>
    <col min="12571" max="12571" width="11.5703125" style="105" customWidth="1"/>
    <col min="12572" max="12573" width="11.42578125" style="105" customWidth="1"/>
    <col min="12574" max="12574" width="11.140625" style="105" customWidth="1"/>
    <col min="12575" max="12575" width="10.42578125" style="105" customWidth="1"/>
    <col min="12576" max="12576" width="10.28515625" style="105" customWidth="1"/>
    <col min="12577" max="12577" width="11.42578125" style="105" customWidth="1"/>
    <col min="12578" max="12578" width="10.5703125" style="105" customWidth="1"/>
    <col min="12579" max="12579" width="10.42578125" style="105" customWidth="1"/>
    <col min="12580" max="12580" width="11.42578125" style="105" customWidth="1"/>
    <col min="12581" max="12581" width="11.5703125" style="105" customWidth="1"/>
    <col min="12582" max="12583" width="11.42578125" style="105" customWidth="1"/>
    <col min="12584" max="12584" width="11.140625" style="105" customWidth="1"/>
    <col min="12585" max="12585" width="10.42578125" style="105" customWidth="1"/>
    <col min="12586" max="12586" width="10.28515625" style="105" customWidth="1"/>
    <col min="12587" max="12587" width="11.42578125" style="105" customWidth="1"/>
    <col min="12588" max="12588" width="10.5703125" style="105" customWidth="1"/>
    <col min="12589" max="12589" width="10.42578125" style="105" customWidth="1"/>
    <col min="12590" max="12590" width="11.42578125" style="105" customWidth="1"/>
    <col min="12591" max="12591" width="11.5703125" style="105" customWidth="1"/>
    <col min="12592" max="12593" width="11.42578125" style="105" customWidth="1"/>
    <col min="12594" max="12594" width="11.140625" style="105" customWidth="1"/>
    <col min="12595" max="12596" width="17.7109375" style="105" customWidth="1"/>
    <col min="12597" max="12597" width="22.5703125" style="105" customWidth="1"/>
    <col min="12598" max="12799" width="11.42578125" style="105"/>
    <col min="12800" max="12800" width="15.42578125" style="105" bestFit="1" customWidth="1"/>
    <col min="12801" max="12801" width="19.140625" style="105" bestFit="1" customWidth="1"/>
    <col min="12802" max="12802" width="11.42578125" style="105"/>
    <col min="12803" max="12803" width="12.140625" style="105" bestFit="1" customWidth="1"/>
    <col min="12804" max="12804" width="16.85546875" style="105" bestFit="1" customWidth="1"/>
    <col min="12805" max="12805" width="8.7109375" style="105" bestFit="1" customWidth="1"/>
    <col min="12806" max="12806" width="11.42578125" style="105"/>
    <col min="12807" max="12807" width="14.85546875" style="105" customWidth="1"/>
    <col min="12808" max="12808" width="12" style="105" customWidth="1"/>
    <col min="12809" max="12809" width="17.85546875" style="105" customWidth="1"/>
    <col min="12810" max="12810" width="24" style="105" customWidth="1"/>
    <col min="12811" max="12811" width="27.5703125" style="105" customWidth="1"/>
    <col min="12812" max="12812" width="20.140625" style="105" customWidth="1"/>
    <col min="12813" max="12813" width="20" style="105" customWidth="1"/>
    <col min="12814" max="12814" width="10.5703125" style="105" customWidth="1"/>
    <col min="12815" max="12815" width="20.140625" style="105" customWidth="1"/>
    <col min="12816" max="12816" width="11.42578125" style="105" customWidth="1"/>
    <col min="12817" max="12817" width="19.42578125" style="105" customWidth="1"/>
    <col min="12818" max="12819" width="11.42578125" style="105" customWidth="1"/>
    <col min="12820" max="12820" width="11.140625" style="105" customWidth="1"/>
    <col min="12821" max="12821" width="10.42578125" style="105" customWidth="1"/>
    <col min="12822" max="12822" width="10.28515625" style="105" customWidth="1"/>
    <col min="12823" max="12823" width="11.42578125" style="105" customWidth="1"/>
    <col min="12824" max="12824" width="10.5703125" style="105" customWidth="1"/>
    <col min="12825" max="12825" width="10.42578125" style="105" customWidth="1"/>
    <col min="12826" max="12826" width="11.42578125" style="105" customWidth="1"/>
    <col min="12827" max="12827" width="11.5703125" style="105" customWidth="1"/>
    <col min="12828" max="12829" width="11.42578125" style="105" customWidth="1"/>
    <col min="12830" max="12830" width="11.140625" style="105" customWidth="1"/>
    <col min="12831" max="12831" width="10.42578125" style="105" customWidth="1"/>
    <col min="12832" max="12832" width="10.28515625" style="105" customWidth="1"/>
    <col min="12833" max="12833" width="11.42578125" style="105" customWidth="1"/>
    <col min="12834" max="12834" width="10.5703125" style="105" customWidth="1"/>
    <col min="12835" max="12835" width="10.42578125" style="105" customWidth="1"/>
    <col min="12836" max="12836" width="11.42578125" style="105" customWidth="1"/>
    <col min="12837" max="12837" width="11.5703125" style="105" customWidth="1"/>
    <col min="12838" max="12839" width="11.42578125" style="105" customWidth="1"/>
    <col min="12840" max="12840" width="11.140625" style="105" customWidth="1"/>
    <col min="12841" max="12841" width="10.42578125" style="105" customWidth="1"/>
    <col min="12842" max="12842" width="10.28515625" style="105" customWidth="1"/>
    <col min="12843" max="12843" width="11.42578125" style="105" customWidth="1"/>
    <col min="12844" max="12844" width="10.5703125" style="105" customWidth="1"/>
    <col min="12845" max="12845" width="10.42578125" style="105" customWidth="1"/>
    <col min="12846" max="12846" width="11.42578125" style="105" customWidth="1"/>
    <col min="12847" max="12847" width="11.5703125" style="105" customWidth="1"/>
    <col min="12848" max="12849" width="11.42578125" style="105" customWidth="1"/>
    <col min="12850" max="12850" width="11.140625" style="105" customWidth="1"/>
    <col min="12851" max="12852" width="17.7109375" style="105" customWidth="1"/>
    <col min="12853" max="12853" width="22.5703125" style="105" customWidth="1"/>
    <col min="12854" max="13055" width="11.42578125" style="105"/>
    <col min="13056" max="13056" width="15.42578125" style="105" bestFit="1" customWidth="1"/>
    <col min="13057" max="13057" width="19.140625" style="105" bestFit="1" customWidth="1"/>
    <col min="13058" max="13058" width="11.42578125" style="105"/>
    <col min="13059" max="13059" width="12.140625" style="105" bestFit="1" customWidth="1"/>
    <col min="13060" max="13060" width="16.85546875" style="105" bestFit="1" customWidth="1"/>
    <col min="13061" max="13061" width="8.7109375" style="105" bestFit="1" customWidth="1"/>
    <col min="13062" max="13062" width="11.42578125" style="105"/>
    <col min="13063" max="13063" width="14.85546875" style="105" customWidth="1"/>
    <col min="13064" max="13064" width="12" style="105" customWidth="1"/>
    <col min="13065" max="13065" width="17.85546875" style="105" customWidth="1"/>
    <col min="13066" max="13066" width="24" style="105" customWidth="1"/>
    <col min="13067" max="13067" width="27.5703125" style="105" customWidth="1"/>
    <col min="13068" max="13068" width="20.140625" style="105" customWidth="1"/>
    <col min="13069" max="13069" width="20" style="105" customWidth="1"/>
    <col min="13070" max="13070" width="10.5703125" style="105" customWidth="1"/>
    <col min="13071" max="13071" width="20.140625" style="105" customWidth="1"/>
    <col min="13072" max="13072" width="11.42578125" style="105" customWidth="1"/>
    <col min="13073" max="13073" width="19.42578125" style="105" customWidth="1"/>
    <col min="13074" max="13075" width="11.42578125" style="105" customWidth="1"/>
    <col min="13076" max="13076" width="11.140625" style="105" customWidth="1"/>
    <col min="13077" max="13077" width="10.42578125" style="105" customWidth="1"/>
    <col min="13078" max="13078" width="10.28515625" style="105" customWidth="1"/>
    <col min="13079" max="13079" width="11.42578125" style="105" customWidth="1"/>
    <col min="13080" max="13080" width="10.5703125" style="105" customWidth="1"/>
    <col min="13081" max="13081" width="10.42578125" style="105" customWidth="1"/>
    <col min="13082" max="13082" width="11.42578125" style="105" customWidth="1"/>
    <col min="13083" max="13083" width="11.5703125" style="105" customWidth="1"/>
    <col min="13084" max="13085" width="11.42578125" style="105" customWidth="1"/>
    <col min="13086" max="13086" width="11.140625" style="105" customWidth="1"/>
    <col min="13087" max="13087" width="10.42578125" style="105" customWidth="1"/>
    <col min="13088" max="13088" width="10.28515625" style="105" customWidth="1"/>
    <col min="13089" max="13089" width="11.42578125" style="105" customWidth="1"/>
    <col min="13090" max="13090" width="10.5703125" style="105" customWidth="1"/>
    <col min="13091" max="13091" width="10.42578125" style="105" customWidth="1"/>
    <col min="13092" max="13092" width="11.42578125" style="105" customWidth="1"/>
    <col min="13093" max="13093" width="11.5703125" style="105" customWidth="1"/>
    <col min="13094" max="13095" width="11.42578125" style="105" customWidth="1"/>
    <col min="13096" max="13096" width="11.140625" style="105" customWidth="1"/>
    <col min="13097" max="13097" width="10.42578125" style="105" customWidth="1"/>
    <col min="13098" max="13098" width="10.28515625" style="105" customWidth="1"/>
    <col min="13099" max="13099" width="11.42578125" style="105" customWidth="1"/>
    <col min="13100" max="13100" width="10.5703125" style="105" customWidth="1"/>
    <col min="13101" max="13101" width="10.42578125" style="105" customWidth="1"/>
    <col min="13102" max="13102" width="11.42578125" style="105" customWidth="1"/>
    <col min="13103" max="13103" width="11.5703125" style="105" customWidth="1"/>
    <col min="13104" max="13105" width="11.42578125" style="105" customWidth="1"/>
    <col min="13106" max="13106" width="11.140625" style="105" customWidth="1"/>
    <col min="13107" max="13108" width="17.7109375" style="105" customWidth="1"/>
    <col min="13109" max="13109" width="22.5703125" style="105" customWidth="1"/>
    <col min="13110" max="13311" width="11.42578125" style="105"/>
    <col min="13312" max="13312" width="15.42578125" style="105" bestFit="1" customWidth="1"/>
    <col min="13313" max="13313" width="19.140625" style="105" bestFit="1" customWidth="1"/>
    <col min="13314" max="13314" width="11.42578125" style="105"/>
    <col min="13315" max="13315" width="12.140625" style="105" bestFit="1" customWidth="1"/>
    <col min="13316" max="13316" width="16.85546875" style="105" bestFit="1" customWidth="1"/>
    <col min="13317" max="13317" width="8.7109375" style="105" bestFit="1" customWidth="1"/>
    <col min="13318" max="13318" width="11.42578125" style="105"/>
    <col min="13319" max="13319" width="14.85546875" style="105" customWidth="1"/>
    <col min="13320" max="13320" width="12" style="105" customWidth="1"/>
    <col min="13321" max="13321" width="17.85546875" style="105" customWidth="1"/>
    <col min="13322" max="13322" width="24" style="105" customWidth="1"/>
    <col min="13323" max="13323" width="27.5703125" style="105" customWidth="1"/>
    <col min="13324" max="13324" width="20.140625" style="105" customWidth="1"/>
    <col min="13325" max="13325" width="20" style="105" customWidth="1"/>
    <col min="13326" max="13326" width="10.5703125" style="105" customWidth="1"/>
    <col min="13327" max="13327" width="20.140625" style="105" customWidth="1"/>
    <col min="13328" max="13328" width="11.42578125" style="105" customWidth="1"/>
    <col min="13329" max="13329" width="19.42578125" style="105" customWidth="1"/>
    <col min="13330" max="13331" width="11.42578125" style="105" customWidth="1"/>
    <col min="13332" max="13332" width="11.140625" style="105" customWidth="1"/>
    <col min="13333" max="13333" width="10.42578125" style="105" customWidth="1"/>
    <col min="13334" max="13334" width="10.28515625" style="105" customWidth="1"/>
    <col min="13335" max="13335" width="11.42578125" style="105" customWidth="1"/>
    <col min="13336" max="13336" width="10.5703125" style="105" customWidth="1"/>
    <col min="13337" max="13337" width="10.42578125" style="105" customWidth="1"/>
    <col min="13338" max="13338" width="11.42578125" style="105" customWidth="1"/>
    <col min="13339" max="13339" width="11.5703125" style="105" customWidth="1"/>
    <col min="13340" max="13341" width="11.42578125" style="105" customWidth="1"/>
    <col min="13342" max="13342" width="11.140625" style="105" customWidth="1"/>
    <col min="13343" max="13343" width="10.42578125" style="105" customWidth="1"/>
    <col min="13344" max="13344" width="10.28515625" style="105" customWidth="1"/>
    <col min="13345" max="13345" width="11.42578125" style="105" customWidth="1"/>
    <col min="13346" max="13346" width="10.5703125" style="105" customWidth="1"/>
    <col min="13347" max="13347" width="10.42578125" style="105" customWidth="1"/>
    <col min="13348" max="13348" width="11.42578125" style="105" customWidth="1"/>
    <col min="13349" max="13349" width="11.5703125" style="105" customWidth="1"/>
    <col min="13350" max="13351" width="11.42578125" style="105" customWidth="1"/>
    <col min="13352" max="13352" width="11.140625" style="105" customWidth="1"/>
    <col min="13353" max="13353" width="10.42578125" style="105" customWidth="1"/>
    <col min="13354" max="13354" width="10.28515625" style="105" customWidth="1"/>
    <col min="13355" max="13355" width="11.42578125" style="105" customWidth="1"/>
    <col min="13356" max="13356" width="10.5703125" style="105" customWidth="1"/>
    <col min="13357" max="13357" width="10.42578125" style="105" customWidth="1"/>
    <col min="13358" max="13358" width="11.42578125" style="105" customWidth="1"/>
    <col min="13359" max="13359" width="11.5703125" style="105" customWidth="1"/>
    <col min="13360" max="13361" width="11.42578125" style="105" customWidth="1"/>
    <col min="13362" max="13362" width="11.140625" style="105" customWidth="1"/>
    <col min="13363" max="13364" width="17.7109375" style="105" customWidth="1"/>
    <col min="13365" max="13365" width="22.5703125" style="105" customWidth="1"/>
    <col min="13366" max="13567" width="11.42578125" style="105"/>
    <col min="13568" max="13568" width="15.42578125" style="105" bestFit="1" customWidth="1"/>
    <col min="13569" max="13569" width="19.140625" style="105" bestFit="1" customWidth="1"/>
    <col min="13570" max="13570" width="11.42578125" style="105"/>
    <col min="13571" max="13571" width="12.140625" style="105" bestFit="1" customWidth="1"/>
    <col min="13572" max="13572" width="16.85546875" style="105" bestFit="1" customWidth="1"/>
    <col min="13573" max="13573" width="8.7109375" style="105" bestFit="1" customWidth="1"/>
    <col min="13574" max="13574" width="11.42578125" style="105"/>
    <col min="13575" max="13575" width="14.85546875" style="105" customWidth="1"/>
    <col min="13576" max="13576" width="12" style="105" customWidth="1"/>
    <col min="13577" max="13577" width="17.85546875" style="105" customWidth="1"/>
    <col min="13578" max="13578" width="24" style="105" customWidth="1"/>
    <col min="13579" max="13579" width="27.5703125" style="105" customWidth="1"/>
    <col min="13580" max="13580" width="20.140625" style="105" customWidth="1"/>
    <col min="13581" max="13581" width="20" style="105" customWidth="1"/>
    <col min="13582" max="13582" width="10.5703125" style="105" customWidth="1"/>
    <col min="13583" max="13583" width="20.140625" style="105" customWidth="1"/>
    <col min="13584" max="13584" width="11.42578125" style="105" customWidth="1"/>
    <col min="13585" max="13585" width="19.42578125" style="105" customWidth="1"/>
    <col min="13586" max="13587" width="11.42578125" style="105" customWidth="1"/>
    <col min="13588" max="13588" width="11.140625" style="105" customWidth="1"/>
    <col min="13589" max="13589" width="10.42578125" style="105" customWidth="1"/>
    <col min="13590" max="13590" width="10.28515625" style="105" customWidth="1"/>
    <col min="13591" max="13591" width="11.42578125" style="105" customWidth="1"/>
    <col min="13592" max="13592" width="10.5703125" style="105" customWidth="1"/>
    <col min="13593" max="13593" width="10.42578125" style="105" customWidth="1"/>
    <col min="13594" max="13594" width="11.42578125" style="105" customWidth="1"/>
    <col min="13595" max="13595" width="11.5703125" style="105" customWidth="1"/>
    <col min="13596" max="13597" width="11.42578125" style="105" customWidth="1"/>
    <col min="13598" max="13598" width="11.140625" style="105" customWidth="1"/>
    <col min="13599" max="13599" width="10.42578125" style="105" customWidth="1"/>
    <col min="13600" max="13600" width="10.28515625" style="105" customWidth="1"/>
    <col min="13601" max="13601" width="11.42578125" style="105" customWidth="1"/>
    <col min="13602" max="13602" width="10.5703125" style="105" customWidth="1"/>
    <col min="13603" max="13603" width="10.42578125" style="105" customWidth="1"/>
    <col min="13604" max="13604" width="11.42578125" style="105" customWidth="1"/>
    <col min="13605" max="13605" width="11.5703125" style="105" customWidth="1"/>
    <col min="13606" max="13607" width="11.42578125" style="105" customWidth="1"/>
    <col min="13608" max="13608" width="11.140625" style="105" customWidth="1"/>
    <col min="13609" max="13609" width="10.42578125" style="105" customWidth="1"/>
    <col min="13610" max="13610" width="10.28515625" style="105" customWidth="1"/>
    <col min="13611" max="13611" width="11.42578125" style="105" customWidth="1"/>
    <col min="13612" max="13612" width="10.5703125" style="105" customWidth="1"/>
    <col min="13613" max="13613" width="10.42578125" style="105" customWidth="1"/>
    <col min="13614" max="13614" width="11.42578125" style="105" customWidth="1"/>
    <col min="13615" max="13615" width="11.5703125" style="105" customWidth="1"/>
    <col min="13616" max="13617" width="11.42578125" style="105" customWidth="1"/>
    <col min="13618" max="13618" width="11.140625" style="105" customWidth="1"/>
    <col min="13619" max="13620" width="17.7109375" style="105" customWidth="1"/>
    <col min="13621" max="13621" width="22.5703125" style="105" customWidth="1"/>
    <col min="13622" max="13823" width="11.42578125" style="105"/>
    <col min="13824" max="13824" width="15.42578125" style="105" bestFit="1" customWidth="1"/>
    <col min="13825" max="13825" width="19.140625" style="105" bestFit="1" customWidth="1"/>
    <col min="13826" max="13826" width="11.42578125" style="105"/>
    <col min="13827" max="13827" width="12.140625" style="105" bestFit="1" customWidth="1"/>
    <col min="13828" max="13828" width="16.85546875" style="105" bestFit="1" customWidth="1"/>
    <col min="13829" max="13829" width="8.7109375" style="105" bestFit="1" customWidth="1"/>
    <col min="13830" max="13830" width="11.42578125" style="105"/>
    <col min="13831" max="13831" width="14.85546875" style="105" customWidth="1"/>
    <col min="13832" max="13832" width="12" style="105" customWidth="1"/>
    <col min="13833" max="13833" width="17.85546875" style="105" customWidth="1"/>
    <col min="13834" max="13834" width="24" style="105" customWidth="1"/>
    <col min="13835" max="13835" width="27.5703125" style="105" customWidth="1"/>
    <col min="13836" max="13836" width="20.140625" style="105" customWidth="1"/>
    <col min="13837" max="13837" width="20" style="105" customWidth="1"/>
    <col min="13838" max="13838" width="10.5703125" style="105" customWidth="1"/>
    <col min="13839" max="13839" width="20.140625" style="105" customWidth="1"/>
    <col min="13840" max="13840" width="11.42578125" style="105" customWidth="1"/>
    <col min="13841" max="13841" width="19.42578125" style="105" customWidth="1"/>
    <col min="13842" max="13843" width="11.42578125" style="105" customWidth="1"/>
    <col min="13844" max="13844" width="11.140625" style="105" customWidth="1"/>
    <col min="13845" max="13845" width="10.42578125" style="105" customWidth="1"/>
    <col min="13846" max="13846" width="10.28515625" style="105" customWidth="1"/>
    <col min="13847" max="13847" width="11.42578125" style="105" customWidth="1"/>
    <col min="13848" max="13848" width="10.5703125" style="105" customWidth="1"/>
    <col min="13849" max="13849" width="10.42578125" style="105" customWidth="1"/>
    <col min="13850" max="13850" width="11.42578125" style="105" customWidth="1"/>
    <col min="13851" max="13851" width="11.5703125" style="105" customWidth="1"/>
    <col min="13852" max="13853" width="11.42578125" style="105" customWidth="1"/>
    <col min="13854" max="13854" width="11.140625" style="105" customWidth="1"/>
    <col min="13855" max="13855" width="10.42578125" style="105" customWidth="1"/>
    <col min="13856" max="13856" width="10.28515625" style="105" customWidth="1"/>
    <col min="13857" max="13857" width="11.42578125" style="105" customWidth="1"/>
    <col min="13858" max="13858" width="10.5703125" style="105" customWidth="1"/>
    <col min="13859" max="13859" width="10.42578125" style="105" customWidth="1"/>
    <col min="13860" max="13860" width="11.42578125" style="105" customWidth="1"/>
    <col min="13861" max="13861" width="11.5703125" style="105" customWidth="1"/>
    <col min="13862" max="13863" width="11.42578125" style="105" customWidth="1"/>
    <col min="13864" max="13864" width="11.140625" style="105" customWidth="1"/>
    <col min="13865" max="13865" width="10.42578125" style="105" customWidth="1"/>
    <col min="13866" max="13866" width="10.28515625" style="105" customWidth="1"/>
    <col min="13867" max="13867" width="11.42578125" style="105" customWidth="1"/>
    <col min="13868" max="13868" width="10.5703125" style="105" customWidth="1"/>
    <col min="13869" max="13869" width="10.42578125" style="105" customWidth="1"/>
    <col min="13870" max="13870" width="11.42578125" style="105" customWidth="1"/>
    <col min="13871" max="13871" width="11.5703125" style="105" customWidth="1"/>
    <col min="13872" max="13873" width="11.42578125" style="105" customWidth="1"/>
    <col min="13874" max="13874" width="11.140625" style="105" customWidth="1"/>
    <col min="13875" max="13876" width="17.7109375" style="105" customWidth="1"/>
    <col min="13877" max="13877" width="22.5703125" style="105" customWidth="1"/>
    <col min="13878" max="14079" width="11.42578125" style="105"/>
    <col min="14080" max="14080" width="15.42578125" style="105" bestFit="1" customWidth="1"/>
    <col min="14081" max="14081" width="19.140625" style="105" bestFit="1" customWidth="1"/>
    <col min="14082" max="14082" width="11.42578125" style="105"/>
    <col min="14083" max="14083" width="12.140625" style="105" bestFit="1" customWidth="1"/>
    <col min="14084" max="14084" width="16.85546875" style="105" bestFit="1" customWidth="1"/>
    <col min="14085" max="14085" width="8.7109375" style="105" bestFit="1" customWidth="1"/>
    <col min="14086" max="14086" width="11.42578125" style="105"/>
    <col min="14087" max="14087" width="14.85546875" style="105" customWidth="1"/>
    <col min="14088" max="14088" width="12" style="105" customWidth="1"/>
    <col min="14089" max="14089" width="17.85546875" style="105" customWidth="1"/>
    <col min="14090" max="14090" width="24" style="105" customWidth="1"/>
    <col min="14091" max="14091" width="27.5703125" style="105" customWidth="1"/>
    <col min="14092" max="14092" width="20.140625" style="105" customWidth="1"/>
    <col min="14093" max="14093" width="20" style="105" customWidth="1"/>
    <col min="14094" max="14094" width="10.5703125" style="105" customWidth="1"/>
    <col min="14095" max="14095" width="20.140625" style="105" customWidth="1"/>
    <col min="14096" max="14096" width="11.42578125" style="105" customWidth="1"/>
    <col min="14097" max="14097" width="19.42578125" style="105" customWidth="1"/>
    <col min="14098" max="14099" width="11.42578125" style="105" customWidth="1"/>
    <col min="14100" max="14100" width="11.140625" style="105" customWidth="1"/>
    <col min="14101" max="14101" width="10.42578125" style="105" customWidth="1"/>
    <col min="14102" max="14102" width="10.28515625" style="105" customWidth="1"/>
    <col min="14103" max="14103" width="11.42578125" style="105" customWidth="1"/>
    <col min="14104" max="14104" width="10.5703125" style="105" customWidth="1"/>
    <col min="14105" max="14105" width="10.42578125" style="105" customWidth="1"/>
    <col min="14106" max="14106" width="11.42578125" style="105" customWidth="1"/>
    <col min="14107" max="14107" width="11.5703125" style="105" customWidth="1"/>
    <col min="14108" max="14109" width="11.42578125" style="105" customWidth="1"/>
    <col min="14110" max="14110" width="11.140625" style="105" customWidth="1"/>
    <col min="14111" max="14111" width="10.42578125" style="105" customWidth="1"/>
    <col min="14112" max="14112" width="10.28515625" style="105" customWidth="1"/>
    <col min="14113" max="14113" width="11.42578125" style="105" customWidth="1"/>
    <col min="14114" max="14114" width="10.5703125" style="105" customWidth="1"/>
    <col min="14115" max="14115" width="10.42578125" style="105" customWidth="1"/>
    <col min="14116" max="14116" width="11.42578125" style="105" customWidth="1"/>
    <col min="14117" max="14117" width="11.5703125" style="105" customWidth="1"/>
    <col min="14118" max="14119" width="11.42578125" style="105" customWidth="1"/>
    <col min="14120" max="14120" width="11.140625" style="105" customWidth="1"/>
    <col min="14121" max="14121" width="10.42578125" style="105" customWidth="1"/>
    <col min="14122" max="14122" width="10.28515625" style="105" customWidth="1"/>
    <col min="14123" max="14123" width="11.42578125" style="105" customWidth="1"/>
    <col min="14124" max="14124" width="10.5703125" style="105" customWidth="1"/>
    <col min="14125" max="14125" width="10.42578125" style="105" customWidth="1"/>
    <col min="14126" max="14126" width="11.42578125" style="105" customWidth="1"/>
    <col min="14127" max="14127" width="11.5703125" style="105" customWidth="1"/>
    <col min="14128" max="14129" width="11.42578125" style="105" customWidth="1"/>
    <col min="14130" max="14130" width="11.140625" style="105" customWidth="1"/>
    <col min="14131" max="14132" width="17.7109375" style="105" customWidth="1"/>
    <col min="14133" max="14133" width="22.5703125" style="105" customWidth="1"/>
    <col min="14134" max="14335" width="11.42578125" style="105"/>
    <col min="14336" max="14336" width="15.42578125" style="105" bestFit="1" customWidth="1"/>
    <col min="14337" max="14337" width="19.140625" style="105" bestFit="1" customWidth="1"/>
    <col min="14338" max="14338" width="11.42578125" style="105"/>
    <col min="14339" max="14339" width="12.140625" style="105" bestFit="1" customWidth="1"/>
    <col min="14340" max="14340" width="16.85546875" style="105" bestFit="1" customWidth="1"/>
    <col min="14341" max="14341" width="8.7109375" style="105" bestFit="1" customWidth="1"/>
    <col min="14342" max="14342" width="11.42578125" style="105"/>
    <col min="14343" max="14343" width="14.85546875" style="105" customWidth="1"/>
    <col min="14344" max="14344" width="12" style="105" customWidth="1"/>
    <col min="14345" max="14345" width="17.85546875" style="105" customWidth="1"/>
    <col min="14346" max="14346" width="24" style="105" customWidth="1"/>
    <col min="14347" max="14347" width="27.5703125" style="105" customWidth="1"/>
    <col min="14348" max="14348" width="20.140625" style="105" customWidth="1"/>
    <col min="14349" max="14349" width="20" style="105" customWidth="1"/>
    <col min="14350" max="14350" width="10.5703125" style="105" customWidth="1"/>
    <col min="14351" max="14351" width="20.140625" style="105" customWidth="1"/>
    <col min="14352" max="14352" width="11.42578125" style="105" customWidth="1"/>
    <col min="14353" max="14353" width="19.42578125" style="105" customWidth="1"/>
    <col min="14354" max="14355" width="11.42578125" style="105" customWidth="1"/>
    <col min="14356" max="14356" width="11.140625" style="105" customWidth="1"/>
    <col min="14357" max="14357" width="10.42578125" style="105" customWidth="1"/>
    <col min="14358" max="14358" width="10.28515625" style="105" customWidth="1"/>
    <col min="14359" max="14359" width="11.42578125" style="105" customWidth="1"/>
    <col min="14360" max="14360" width="10.5703125" style="105" customWidth="1"/>
    <col min="14361" max="14361" width="10.42578125" style="105" customWidth="1"/>
    <col min="14362" max="14362" width="11.42578125" style="105" customWidth="1"/>
    <col min="14363" max="14363" width="11.5703125" style="105" customWidth="1"/>
    <col min="14364" max="14365" width="11.42578125" style="105" customWidth="1"/>
    <col min="14366" max="14366" width="11.140625" style="105" customWidth="1"/>
    <col min="14367" max="14367" width="10.42578125" style="105" customWidth="1"/>
    <col min="14368" max="14368" width="10.28515625" style="105" customWidth="1"/>
    <col min="14369" max="14369" width="11.42578125" style="105" customWidth="1"/>
    <col min="14370" max="14370" width="10.5703125" style="105" customWidth="1"/>
    <col min="14371" max="14371" width="10.42578125" style="105" customWidth="1"/>
    <col min="14372" max="14372" width="11.42578125" style="105" customWidth="1"/>
    <col min="14373" max="14373" width="11.5703125" style="105" customWidth="1"/>
    <col min="14374" max="14375" width="11.42578125" style="105" customWidth="1"/>
    <col min="14376" max="14376" width="11.140625" style="105" customWidth="1"/>
    <col min="14377" max="14377" width="10.42578125" style="105" customWidth="1"/>
    <col min="14378" max="14378" width="10.28515625" style="105" customWidth="1"/>
    <col min="14379" max="14379" width="11.42578125" style="105" customWidth="1"/>
    <col min="14380" max="14380" width="10.5703125" style="105" customWidth="1"/>
    <col min="14381" max="14381" width="10.42578125" style="105" customWidth="1"/>
    <col min="14382" max="14382" width="11.42578125" style="105" customWidth="1"/>
    <col min="14383" max="14383" width="11.5703125" style="105" customWidth="1"/>
    <col min="14384" max="14385" width="11.42578125" style="105" customWidth="1"/>
    <col min="14386" max="14386" width="11.140625" style="105" customWidth="1"/>
    <col min="14387" max="14388" width="17.7109375" style="105" customWidth="1"/>
    <col min="14389" max="14389" width="22.5703125" style="105" customWidth="1"/>
    <col min="14390" max="14591" width="11.42578125" style="105"/>
    <col min="14592" max="14592" width="15.42578125" style="105" bestFit="1" customWidth="1"/>
    <col min="14593" max="14593" width="19.140625" style="105" bestFit="1" customWidth="1"/>
    <col min="14594" max="14594" width="11.42578125" style="105"/>
    <col min="14595" max="14595" width="12.140625" style="105" bestFit="1" customWidth="1"/>
    <col min="14596" max="14596" width="16.85546875" style="105" bestFit="1" customWidth="1"/>
    <col min="14597" max="14597" width="8.7109375" style="105" bestFit="1" customWidth="1"/>
    <col min="14598" max="14598" width="11.42578125" style="105"/>
    <col min="14599" max="14599" width="14.85546875" style="105" customWidth="1"/>
    <col min="14600" max="14600" width="12" style="105" customWidth="1"/>
    <col min="14601" max="14601" width="17.85546875" style="105" customWidth="1"/>
    <col min="14602" max="14602" width="24" style="105" customWidth="1"/>
    <col min="14603" max="14603" width="27.5703125" style="105" customWidth="1"/>
    <col min="14604" max="14604" width="20.140625" style="105" customWidth="1"/>
    <col min="14605" max="14605" width="20" style="105" customWidth="1"/>
    <col min="14606" max="14606" width="10.5703125" style="105" customWidth="1"/>
    <col min="14607" max="14607" width="20.140625" style="105" customWidth="1"/>
    <col min="14608" max="14608" width="11.42578125" style="105" customWidth="1"/>
    <col min="14609" max="14609" width="19.42578125" style="105" customWidth="1"/>
    <col min="14610" max="14611" width="11.42578125" style="105" customWidth="1"/>
    <col min="14612" max="14612" width="11.140625" style="105" customWidth="1"/>
    <col min="14613" max="14613" width="10.42578125" style="105" customWidth="1"/>
    <col min="14614" max="14614" width="10.28515625" style="105" customWidth="1"/>
    <col min="14615" max="14615" width="11.42578125" style="105" customWidth="1"/>
    <col min="14616" max="14616" width="10.5703125" style="105" customWidth="1"/>
    <col min="14617" max="14617" width="10.42578125" style="105" customWidth="1"/>
    <col min="14618" max="14618" width="11.42578125" style="105" customWidth="1"/>
    <col min="14619" max="14619" width="11.5703125" style="105" customWidth="1"/>
    <col min="14620" max="14621" width="11.42578125" style="105" customWidth="1"/>
    <col min="14622" max="14622" width="11.140625" style="105" customWidth="1"/>
    <col min="14623" max="14623" width="10.42578125" style="105" customWidth="1"/>
    <col min="14624" max="14624" width="10.28515625" style="105" customWidth="1"/>
    <col min="14625" max="14625" width="11.42578125" style="105" customWidth="1"/>
    <col min="14626" max="14626" width="10.5703125" style="105" customWidth="1"/>
    <col min="14627" max="14627" width="10.42578125" style="105" customWidth="1"/>
    <col min="14628" max="14628" width="11.42578125" style="105" customWidth="1"/>
    <col min="14629" max="14629" width="11.5703125" style="105" customWidth="1"/>
    <col min="14630" max="14631" width="11.42578125" style="105" customWidth="1"/>
    <col min="14632" max="14632" width="11.140625" style="105" customWidth="1"/>
    <col min="14633" max="14633" width="10.42578125" style="105" customWidth="1"/>
    <col min="14634" max="14634" width="10.28515625" style="105" customWidth="1"/>
    <col min="14635" max="14635" width="11.42578125" style="105" customWidth="1"/>
    <col min="14636" max="14636" width="10.5703125" style="105" customWidth="1"/>
    <col min="14637" max="14637" width="10.42578125" style="105" customWidth="1"/>
    <col min="14638" max="14638" width="11.42578125" style="105" customWidth="1"/>
    <col min="14639" max="14639" width="11.5703125" style="105" customWidth="1"/>
    <col min="14640" max="14641" width="11.42578125" style="105" customWidth="1"/>
    <col min="14642" max="14642" width="11.140625" style="105" customWidth="1"/>
    <col min="14643" max="14644" width="17.7109375" style="105" customWidth="1"/>
    <col min="14645" max="14645" width="22.5703125" style="105" customWidth="1"/>
    <col min="14646" max="14847" width="11.42578125" style="105"/>
    <col min="14848" max="14848" width="15.42578125" style="105" bestFit="1" customWidth="1"/>
    <col min="14849" max="14849" width="19.140625" style="105" bestFit="1" customWidth="1"/>
    <col min="14850" max="14850" width="11.42578125" style="105"/>
    <col min="14851" max="14851" width="12.140625" style="105" bestFit="1" customWidth="1"/>
    <col min="14852" max="14852" width="16.85546875" style="105" bestFit="1" customWidth="1"/>
    <col min="14853" max="14853" width="8.7109375" style="105" bestFit="1" customWidth="1"/>
    <col min="14854" max="14854" width="11.42578125" style="105"/>
    <col min="14855" max="14855" width="14.85546875" style="105" customWidth="1"/>
    <col min="14856" max="14856" width="12" style="105" customWidth="1"/>
    <col min="14857" max="14857" width="17.85546875" style="105" customWidth="1"/>
    <col min="14858" max="14858" width="24" style="105" customWidth="1"/>
    <col min="14859" max="14859" width="27.5703125" style="105" customWidth="1"/>
    <col min="14860" max="14860" width="20.140625" style="105" customWidth="1"/>
    <col min="14861" max="14861" width="20" style="105" customWidth="1"/>
    <col min="14862" max="14862" width="10.5703125" style="105" customWidth="1"/>
    <col min="14863" max="14863" width="20.140625" style="105" customWidth="1"/>
    <col min="14864" max="14864" width="11.42578125" style="105" customWidth="1"/>
    <col min="14865" max="14865" width="19.42578125" style="105" customWidth="1"/>
    <col min="14866" max="14867" width="11.42578125" style="105" customWidth="1"/>
    <col min="14868" max="14868" width="11.140625" style="105" customWidth="1"/>
    <col min="14869" max="14869" width="10.42578125" style="105" customWidth="1"/>
    <col min="14870" max="14870" width="10.28515625" style="105" customWidth="1"/>
    <col min="14871" max="14871" width="11.42578125" style="105" customWidth="1"/>
    <col min="14872" max="14872" width="10.5703125" style="105" customWidth="1"/>
    <col min="14873" max="14873" width="10.42578125" style="105" customWidth="1"/>
    <col min="14874" max="14874" width="11.42578125" style="105" customWidth="1"/>
    <col min="14875" max="14875" width="11.5703125" style="105" customWidth="1"/>
    <col min="14876" max="14877" width="11.42578125" style="105" customWidth="1"/>
    <col min="14878" max="14878" width="11.140625" style="105" customWidth="1"/>
    <col min="14879" max="14879" width="10.42578125" style="105" customWidth="1"/>
    <col min="14880" max="14880" width="10.28515625" style="105" customWidth="1"/>
    <col min="14881" max="14881" width="11.42578125" style="105" customWidth="1"/>
    <col min="14882" max="14882" width="10.5703125" style="105" customWidth="1"/>
    <col min="14883" max="14883" width="10.42578125" style="105" customWidth="1"/>
    <col min="14884" max="14884" width="11.42578125" style="105" customWidth="1"/>
    <col min="14885" max="14885" width="11.5703125" style="105" customWidth="1"/>
    <col min="14886" max="14887" width="11.42578125" style="105" customWidth="1"/>
    <col min="14888" max="14888" width="11.140625" style="105" customWidth="1"/>
    <col min="14889" max="14889" width="10.42578125" style="105" customWidth="1"/>
    <col min="14890" max="14890" width="10.28515625" style="105" customWidth="1"/>
    <col min="14891" max="14891" width="11.42578125" style="105" customWidth="1"/>
    <col min="14892" max="14892" width="10.5703125" style="105" customWidth="1"/>
    <col min="14893" max="14893" width="10.42578125" style="105" customWidth="1"/>
    <col min="14894" max="14894" width="11.42578125" style="105" customWidth="1"/>
    <col min="14895" max="14895" width="11.5703125" style="105" customWidth="1"/>
    <col min="14896" max="14897" width="11.42578125" style="105" customWidth="1"/>
    <col min="14898" max="14898" width="11.140625" style="105" customWidth="1"/>
    <col min="14899" max="14900" width="17.7109375" style="105" customWidth="1"/>
    <col min="14901" max="14901" width="22.5703125" style="105" customWidth="1"/>
    <col min="14902" max="15103" width="11.42578125" style="105"/>
    <col min="15104" max="15104" width="15.42578125" style="105" bestFit="1" customWidth="1"/>
    <col min="15105" max="15105" width="19.140625" style="105" bestFit="1" customWidth="1"/>
    <col min="15106" max="15106" width="11.42578125" style="105"/>
    <col min="15107" max="15107" width="12.140625" style="105" bestFit="1" customWidth="1"/>
    <col min="15108" max="15108" width="16.85546875" style="105" bestFit="1" customWidth="1"/>
    <col min="15109" max="15109" width="8.7109375" style="105" bestFit="1" customWidth="1"/>
    <col min="15110" max="15110" width="11.42578125" style="105"/>
    <col min="15111" max="15111" width="14.85546875" style="105" customWidth="1"/>
    <col min="15112" max="15112" width="12" style="105" customWidth="1"/>
    <col min="15113" max="15113" width="17.85546875" style="105" customWidth="1"/>
    <col min="15114" max="15114" width="24" style="105" customWidth="1"/>
    <col min="15115" max="15115" width="27.5703125" style="105" customWidth="1"/>
    <col min="15116" max="15116" width="20.140625" style="105" customWidth="1"/>
    <col min="15117" max="15117" width="20" style="105" customWidth="1"/>
    <col min="15118" max="15118" width="10.5703125" style="105" customWidth="1"/>
    <col min="15119" max="15119" width="20.140625" style="105" customWidth="1"/>
    <col min="15120" max="15120" width="11.42578125" style="105" customWidth="1"/>
    <col min="15121" max="15121" width="19.42578125" style="105" customWidth="1"/>
    <col min="15122" max="15123" width="11.42578125" style="105" customWidth="1"/>
    <col min="15124" max="15124" width="11.140625" style="105" customWidth="1"/>
    <col min="15125" max="15125" width="10.42578125" style="105" customWidth="1"/>
    <col min="15126" max="15126" width="10.28515625" style="105" customWidth="1"/>
    <col min="15127" max="15127" width="11.42578125" style="105" customWidth="1"/>
    <col min="15128" max="15128" width="10.5703125" style="105" customWidth="1"/>
    <col min="15129" max="15129" width="10.42578125" style="105" customWidth="1"/>
    <col min="15130" max="15130" width="11.42578125" style="105" customWidth="1"/>
    <col min="15131" max="15131" width="11.5703125" style="105" customWidth="1"/>
    <col min="15132" max="15133" width="11.42578125" style="105" customWidth="1"/>
    <col min="15134" max="15134" width="11.140625" style="105" customWidth="1"/>
    <col min="15135" max="15135" width="10.42578125" style="105" customWidth="1"/>
    <col min="15136" max="15136" width="10.28515625" style="105" customWidth="1"/>
    <col min="15137" max="15137" width="11.42578125" style="105" customWidth="1"/>
    <col min="15138" max="15138" width="10.5703125" style="105" customWidth="1"/>
    <col min="15139" max="15139" width="10.42578125" style="105" customWidth="1"/>
    <col min="15140" max="15140" width="11.42578125" style="105" customWidth="1"/>
    <col min="15141" max="15141" width="11.5703125" style="105" customWidth="1"/>
    <col min="15142" max="15143" width="11.42578125" style="105" customWidth="1"/>
    <col min="15144" max="15144" width="11.140625" style="105" customWidth="1"/>
    <col min="15145" max="15145" width="10.42578125" style="105" customWidth="1"/>
    <col min="15146" max="15146" width="10.28515625" style="105" customWidth="1"/>
    <col min="15147" max="15147" width="11.42578125" style="105" customWidth="1"/>
    <col min="15148" max="15148" width="10.5703125" style="105" customWidth="1"/>
    <col min="15149" max="15149" width="10.42578125" style="105" customWidth="1"/>
    <col min="15150" max="15150" width="11.42578125" style="105" customWidth="1"/>
    <col min="15151" max="15151" width="11.5703125" style="105" customWidth="1"/>
    <col min="15152" max="15153" width="11.42578125" style="105" customWidth="1"/>
    <col min="15154" max="15154" width="11.140625" style="105" customWidth="1"/>
    <col min="15155" max="15156" width="17.7109375" style="105" customWidth="1"/>
    <col min="15157" max="15157" width="22.5703125" style="105" customWidth="1"/>
    <col min="15158" max="15359" width="11.42578125" style="105"/>
    <col min="15360" max="15360" width="15.42578125" style="105" bestFit="1" customWidth="1"/>
    <col min="15361" max="15361" width="19.140625" style="105" bestFit="1" customWidth="1"/>
    <col min="15362" max="15362" width="11.42578125" style="105"/>
    <col min="15363" max="15363" width="12.140625" style="105" bestFit="1" customWidth="1"/>
    <col min="15364" max="15364" width="16.85546875" style="105" bestFit="1" customWidth="1"/>
    <col min="15365" max="15365" width="8.7109375" style="105" bestFit="1" customWidth="1"/>
    <col min="15366" max="15366" width="11.42578125" style="105"/>
    <col min="15367" max="15367" width="14.85546875" style="105" customWidth="1"/>
    <col min="15368" max="15368" width="12" style="105" customWidth="1"/>
    <col min="15369" max="15369" width="17.85546875" style="105" customWidth="1"/>
    <col min="15370" max="15370" width="24" style="105" customWidth="1"/>
    <col min="15371" max="15371" width="27.5703125" style="105" customWidth="1"/>
    <col min="15372" max="15372" width="20.140625" style="105" customWidth="1"/>
    <col min="15373" max="15373" width="20" style="105" customWidth="1"/>
    <col min="15374" max="15374" width="10.5703125" style="105" customWidth="1"/>
    <col min="15375" max="15375" width="20.140625" style="105" customWidth="1"/>
    <col min="15376" max="15376" width="11.42578125" style="105" customWidth="1"/>
    <col min="15377" max="15377" width="19.42578125" style="105" customWidth="1"/>
    <col min="15378" max="15379" width="11.42578125" style="105" customWidth="1"/>
    <col min="15380" max="15380" width="11.140625" style="105" customWidth="1"/>
    <col min="15381" max="15381" width="10.42578125" style="105" customWidth="1"/>
    <col min="15382" max="15382" width="10.28515625" style="105" customWidth="1"/>
    <col min="15383" max="15383" width="11.42578125" style="105" customWidth="1"/>
    <col min="15384" max="15384" width="10.5703125" style="105" customWidth="1"/>
    <col min="15385" max="15385" width="10.42578125" style="105" customWidth="1"/>
    <col min="15386" max="15386" width="11.42578125" style="105" customWidth="1"/>
    <col min="15387" max="15387" width="11.5703125" style="105" customWidth="1"/>
    <col min="15388" max="15389" width="11.42578125" style="105" customWidth="1"/>
    <col min="15390" max="15390" width="11.140625" style="105" customWidth="1"/>
    <col min="15391" max="15391" width="10.42578125" style="105" customWidth="1"/>
    <col min="15392" max="15392" width="10.28515625" style="105" customWidth="1"/>
    <col min="15393" max="15393" width="11.42578125" style="105" customWidth="1"/>
    <col min="15394" max="15394" width="10.5703125" style="105" customWidth="1"/>
    <col min="15395" max="15395" width="10.42578125" style="105" customWidth="1"/>
    <col min="15396" max="15396" width="11.42578125" style="105" customWidth="1"/>
    <col min="15397" max="15397" width="11.5703125" style="105" customWidth="1"/>
    <col min="15398" max="15399" width="11.42578125" style="105" customWidth="1"/>
    <col min="15400" max="15400" width="11.140625" style="105" customWidth="1"/>
    <col min="15401" max="15401" width="10.42578125" style="105" customWidth="1"/>
    <col min="15402" max="15402" width="10.28515625" style="105" customWidth="1"/>
    <col min="15403" max="15403" width="11.42578125" style="105" customWidth="1"/>
    <col min="15404" max="15404" width="10.5703125" style="105" customWidth="1"/>
    <col min="15405" max="15405" width="10.42578125" style="105" customWidth="1"/>
    <col min="15406" max="15406" width="11.42578125" style="105" customWidth="1"/>
    <col min="15407" max="15407" width="11.5703125" style="105" customWidth="1"/>
    <col min="15408" max="15409" width="11.42578125" style="105" customWidth="1"/>
    <col min="15410" max="15410" width="11.140625" style="105" customWidth="1"/>
    <col min="15411" max="15412" width="17.7109375" style="105" customWidth="1"/>
    <col min="15413" max="15413" width="22.5703125" style="105" customWidth="1"/>
    <col min="15414" max="15615" width="11.42578125" style="105"/>
    <col min="15616" max="15616" width="15.42578125" style="105" bestFit="1" customWidth="1"/>
    <col min="15617" max="15617" width="19.140625" style="105" bestFit="1" customWidth="1"/>
    <col min="15618" max="15618" width="11.42578125" style="105"/>
    <col min="15619" max="15619" width="12.140625" style="105" bestFit="1" customWidth="1"/>
    <col min="15620" max="15620" width="16.85546875" style="105" bestFit="1" customWidth="1"/>
    <col min="15621" max="15621" width="8.7109375" style="105" bestFit="1" customWidth="1"/>
    <col min="15622" max="15622" width="11.42578125" style="105"/>
    <col min="15623" max="15623" width="14.85546875" style="105" customWidth="1"/>
    <col min="15624" max="15624" width="12" style="105" customWidth="1"/>
    <col min="15625" max="15625" width="17.85546875" style="105" customWidth="1"/>
    <col min="15626" max="15626" width="24" style="105" customWidth="1"/>
    <col min="15627" max="15627" width="27.5703125" style="105" customWidth="1"/>
    <col min="15628" max="15628" width="20.140625" style="105" customWidth="1"/>
    <col min="15629" max="15629" width="20" style="105" customWidth="1"/>
    <col min="15630" max="15630" width="10.5703125" style="105" customWidth="1"/>
    <col min="15631" max="15631" width="20.140625" style="105" customWidth="1"/>
    <col min="15632" max="15632" width="11.42578125" style="105" customWidth="1"/>
    <col min="15633" max="15633" width="19.42578125" style="105" customWidth="1"/>
    <col min="15634" max="15635" width="11.42578125" style="105" customWidth="1"/>
    <col min="15636" max="15636" width="11.140625" style="105" customWidth="1"/>
    <col min="15637" max="15637" width="10.42578125" style="105" customWidth="1"/>
    <col min="15638" max="15638" width="10.28515625" style="105" customWidth="1"/>
    <col min="15639" max="15639" width="11.42578125" style="105" customWidth="1"/>
    <col min="15640" max="15640" width="10.5703125" style="105" customWidth="1"/>
    <col min="15641" max="15641" width="10.42578125" style="105" customWidth="1"/>
    <col min="15642" max="15642" width="11.42578125" style="105" customWidth="1"/>
    <col min="15643" max="15643" width="11.5703125" style="105" customWidth="1"/>
    <col min="15644" max="15645" width="11.42578125" style="105" customWidth="1"/>
    <col min="15646" max="15646" width="11.140625" style="105" customWidth="1"/>
    <col min="15647" max="15647" width="10.42578125" style="105" customWidth="1"/>
    <col min="15648" max="15648" width="10.28515625" style="105" customWidth="1"/>
    <col min="15649" max="15649" width="11.42578125" style="105" customWidth="1"/>
    <col min="15650" max="15650" width="10.5703125" style="105" customWidth="1"/>
    <col min="15651" max="15651" width="10.42578125" style="105" customWidth="1"/>
    <col min="15652" max="15652" width="11.42578125" style="105" customWidth="1"/>
    <col min="15653" max="15653" width="11.5703125" style="105" customWidth="1"/>
    <col min="15654" max="15655" width="11.42578125" style="105" customWidth="1"/>
    <col min="15656" max="15656" width="11.140625" style="105" customWidth="1"/>
    <col min="15657" max="15657" width="10.42578125" style="105" customWidth="1"/>
    <col min="15658" max="15658" width="10.28515625" style="105" customWidth="1"/>
    <col min="15659" max="15659" width="11.42578125" style="105" customWidth="1"/>
    <col min="15660" max="15660" width="10.5703125" style="105" customWidth="1"/>
    <col min="15661" max="15661" width="10.42578125" style="105" customWidth="1"/>
    <col min="15662" max="15662" width="11.42578125" style="105" customWidth="1"/>
    <col min="15663" max="15663" width="11.5703125" style="105" customWidth="1"/>
    <col min="15664" max="15665" width="11.42578125" style="105" customWidth="1"/>
    <col min="15666" max="15666" width="11.140625" style="105" customWidth="1"/>
    <col min="15667" max="15668" width="17.7109375" style="105" customWidth="1"/>
    <col min="15669" max="15669" width="22.5703125" style="105" customWidth="1"/>
    <col min="15670" max="15871" width="11.42578125" style="105"/>
    <col min="15872" max="15872" width="15.42578125" style="105" bestFit="1" customWidth="1"/>
    <col min="15873" max="15873" width="19.140625" style="105" bestFit="1" customWidth="1"/>
    <col min="15874" max="15874" width="11.42578125" style="105"/>
    <col min="15875" max="15875" width="12.140625" style="105" bestFit="1" customWidth="1"/>
    <col min="15876" max="15876" width="16.85546875" style="105" bestFit="1" customWidth="1"/>
    <col min="15877" max="15877" width="8.7109375" style="105" bestFit="1" customWidth="1"/>
    <col min="15878" max="15878" width="11.42578125" style="105"/>
    <col min="15879" max="15879" width="14.85546875" style="105" customWidth="1"/>
    <col min="15880" max="15880" width="12" style="105" customWidth="1"/>
    <col min="15881" max="15881" width="17.85546875" style="105" customWidth="1"/>
    <col min="15882" max="15882" width="24" style="105" customWidth="1"/>
    <col min="15883" max="15883" width="27.5703125" style="105" customWidth="1"/>
    <col min="15884" max="15884" width="20.140625" style="105" customWidth="1"/>
    <col min="15885" max="15885" width="20" style="105" customWidth="1"/>
    <col min="15886" max="15886" width="10.5703125" style="105" customWidth="1"/>
    <col min="15887" max="15887" width="20.140625" style="105" customWidth="1"/>
    <col min="15888" max="15888" width="11.42578125" style="105" customWidth="1"/>
    <col min="15889" max="15889" width="19.42578125" style="105" customWidth="1"/>
    <col min="15890" max="15891" width="11.42578125" style="105" customWidth="1"/>
    <col min="15892" max="15892" width="11.140625" style="105" customWidth="1"/>
    <col min="15893" max="15893" width="10.42578125" style="105" customWidth="1"/>
    <col min="15894" max="15894" width="10.28515625" style="105" customWidth="1"/>
    <col min="15895" max="15895" width="11.42578125" style="105" customWidth="1"/>
    <col min="15896" max="15896" width="10.5703125" style="105" customWidth="1"/>
    <col min="15897" max="15897" width="10.42578125" style="105" customWidth="1"/>
    <col min="15898" max="15898" width="11.42578125" style="105" customWidth="1"/>
    <col min="15899" max="15899" width="11.5703125" style="105" customWidth="1"/>
    <col min="15900" max="15901" width="11.42578125" style="105" customWidth="1"/>
    <col min="15902" max="15902" width="11.140625" style="105" customWidth="1"/>
    <col min="15903" max="15903" width="10.42578125" style="105" customWidth="1"/>
    <col min="15904" max="15904" width="10.28515625" style="105" customWidth="1"/>
    <col min="15905" max="15905" width="11.42578125" style="105" customWidth="1"/>
    <col min="15906" max="15906" width="10.5703125" style="105" customWidth="1"/>
    <col min="15907" max="15907" width="10.42578125" style="105" customWidth="1"/>
    <col min="15908" max="15908" width="11.42578125" style="105" customWidth="1"/>
    <col min="15909" max="15909" width="11.5703125" style="105" customWidth="1"/>
    <col min="15910" max="15911" width="11.42578125" style="105" customWidth="1"/>
    <col min="15912" max="15912" width="11.140625" style="105" customWidth="1"/>
    <col min="15913" max="15913" width="10.42578125" style="105" customWidth="1"/>
    <col min="15914" max="15914" width="10.28515625" style="105" customWidth="1"/>
    <col min="15915" max="15915" width="11.42578125" style="105" customWidth="1"/>
    <col min="15916" max="15916" width="10.5703125" style="105" customWidth="1"/>
    <col min="15917" max="15917" width="10.42578125" style="105" customWidth="1"/>
    <col min="15918" max="15918" width="11.42578125" style="105" customWidth="1"/>
    <col min="15919" max="15919" width="11.5703125" style="105" customWidth="1"/>
    <col min="15920" max="15921" width="11.42578125" style="105" customWidth="1"/>
    <col min="15922" max="15922" width="11.140625" style="105" customWidth="1"/>
    <col min="15923" max="15924" width="17.7109375" style="105" customWidth="1"/>
    <col min="15925" max="15925" width="22.5703125" style="105" customWidth="1"/>
    <col min="15926" max="16127" width="11.42578125" style="105"/>
    <col min="16128" max="16128" width="15.42578125" style="105" bestFit="1" customWidth="1"/>
    <col min="16129" max="16129" width="19.140625" style="105" bestFit="1" customWidth="1"/>
    <col min="16130" max="16130" width="11.42578125" style="105"/>
    <col min="16131" max="16131" width="12.140625" style="105" bestFit="1" customWidth="1"/>
    <col min="16132" max="16132" width="16.85546875" style="105" bestFit="1" customWidth="1"/>
    <col min="16133" max="16133" width="8.7109375" style="105" bestFit="1" customWidth="1"/>
    <col min="16134" max="16134" width="11.42578125" style="105"/>
    <col min="16135" max="16135" width="14.85546875" style="105" customWidth="1"/>
    <col min="16136" max="16136" width="12" style="105" customWidth="1"/>
    <col min="16137" max="16137" width="17.85546875" style="105" customWidth="1"/>
    <col min="16138" max="16138" width="24" style="105" customWidth="1"/>
    <col min="16139" max="16139" width="27.5703125" style="105" customWidth="1"/>
    <col min="16140" max="16140" width="20.140625" style="105" customWidth="1"/>
    <col min="16141" max="16141" width="20" style="105" customWidth="1"/>
    <col min="16142" max="16142" width="10.5703125" style="105" customWidth="1"/>
    <col min="16143" max="16143" width="20.140625" style="105" customWidth="1"/>
    <col min="16144" max="16144" width="11.42578125" style="105" customWidth="1"/>
    <col min="16145" max="16145" width="19.42578125" style="105" customWidth="1"/>
    <col min="16146" max="16147" width="11.42578125" style="105" customWidth="1"/>
    <col min="16148" max="16148" width="11.140625" style="105" customWidth="1"/>
    <col min="16149" max="16149" width="10.42578125" style="105" customWidth="1"/>
    <col min="16150" max="16150" width="10.28515625" style="105" customWidth="1"/>
    <col min="16151" max="16151" width="11.42578125" style="105" customWidth="1"/>
    <col min="16152" max="16152" width="10.5703125" style="105" customWidth="1"/>
    <col min="16153" max="16153" width="10.42578125" style="105" customWidth="1"/>
    <col min="16154" max="16154" width="11.42578125" style="105" customWidth="1"/>
    <col min="16155" max="16155" width="11.5703125" style="105" customWidth="1"/>
    <col min="16156" max="16157" width="11.42578125" style="105" customWidth="1"/>
    <col min="16158" max="16158" width="11.140625" style="105" customWidth="1"/>
    <col min="16159" max="16159" width="10.42578125" style="105" customWidth="1"/>
    <col min="16160" max="16160" width="10.28515625" style="105" customWidth="1"/>
    <col min="16161" max="16161" width="11.42578125" style="105" customWidth="1"/>
    <col min="16162" max="16162" width="10.5703125" style="105" customWidth="1"/>
    <col min="16163" max="16163" width="10.42578125" style="105" customWidth="1"/>
    <col min="16164" max="16164" width="11.42578125" style="105" customWidth="1"/>
    <col min="16165" max="16165" width="11.5703125" style="105" customWidth="1"/>
    <col min="16166" max="16167" width="11.42578125" style="105" customWidth="1"/>
    <col min="16168" max="16168" width="11.140625" style="105" customWidth="1"/>
    <col min="16169" max="16169" width="10.42578125" style="105" customWidth="1"/>
    <col min="16170" max="16170" width="10.28515625" style="105" customWidth="1"/>
    <col min="16171" max="16171" width="11.42578125" style="105" customWidth="1"/>
    <col min="16172" max="16172" width="10.5703125" style="105" customWidth="1"/>
    <col min="16173" max="16173" width="10.42578125" style="105" customWidth="1"/>
    <col min="16174" max="16174" width="11.42578125" style="105" customWidth="1"/>
    <col min="16175" max="16175" width="11.5703125" style="105" customWidth="1"/>
    <col min="16176" max="16177" width="11.42578125" style="105" customWidth="1"/>
    <col min="16178" max="16178" width="11.140625" style="105" customWidth="1"/>
    <col min="16179" max="16180" width="17.7109375" style="105" customWidth="1"/>
    <col min="16181" max="16181" width="22.5703125" style="105" customWidth="1"/>
    <col min="16182" max="16384" width="11.42578125" style="105"/>
  </cols>
  <sheetData>
    <row r="1" spans="1:55" s="117" customFormat="1">
      <c r="L1" s="108" t="s">
        <v>32</v>
      </c>
      <c r="M1" s="109"/>
      <c r="N1" s="109"/>
      <c r="O1" s="109"/>
      <c r="P1" s="109"/>
      <c r="Q1" s="109"/>
      <c r="R1" s="109"/>
      <c r="S1" s="109"/>
      <c r="T1" s="109"/>
      <c r="U1" s="110"/>
      <c r="V1" s="111">
        <v>20</v>
      </c>
      <c r="W1" s="112"/>
      <c r="X1" s="112"/>
      <c r="Y1" s="112"/>
      <c r="Z1" s="112"/>
      <c r="AA1" s="112"/>
      <c r="AB1" s="112"/>
      <c r="AC1" s="112"/>
      <c r="AD1" s="112"/>
      <c r="AE1" s="113"/>
      <c r="AF1" s="114">
        <v>60</v>
      </c>
      <c r="AG1" s="115"/>
      <c r="AH1" s="115"/>
      <c r="AI1" s="115"/>
      <c r="AJ1" s="115"/>
      <c r="AK1" s="115"/>
      <c r="AL1" s="115"/>
      <c r="AM1" s="115"/>
      <c r="AN1" s="115"/>
      <c r="AO1" s="116"/>
      <c r="AP1" s="132">
        <v>100</v>
      </c>
      <c r="AQ1" s="133"/>
      <c r="AR1" s="133"/>
      <c r="AS1" s="133"/>
      <c r="AT1" s="133"/>
      <c r="AU1" s="133"/>
      <c r="AV1" s="133"/>
      <c r="AW1" s="133"/>
      <c r="AX1" s="133"/>
      <c r="AY1" s="134"/>
      <c r="AZ1" s="135" t="s">
        <v>365</v>
      </c>
    </row>
    <row r="2" spans="1:55">
      <c r="A2" s="131" t="s">
        <v>23</v>
      </c>
      <c r="B2" s="131" t="s">
        <v>356</v>
      </c>
      <c r="C2" s="131" t="s">
        <v>357</v>
      </c>
      <c r="D2" s="131" t="s">
        <v>358</v>
      </c>
      <c r="E2" s="131" t="s">
        <v>359</v>
      </c>
      <c r="F2" s="131" t="s">
        <v>360</v>
      </c>
      <c r="G2" s="131" t="s">
        <v>361</v>
      </c>
      <c r="H2" s="131" t="s">
        <v>362</v>
      </c>
      <c r="I2" s="131" t="s">
        <v>363</v>
      </c>
      <c r="J2" s="135" t="s">
        <v>30</v>
      </c>
      <c r="K2" s="135" t="s">
        <v>364</v>
      </c>
      <c r="L2" s="118" t="s">
        <v>25</v>
      </c>
      <c r="M2" s="118" t="s">
        <v>26</v>
      </c>
      <c r="N2" s="118" t="s">
        <v>28</v>
      </c>
      <c r="O2" s="118" t="s">
        <v>36</v>
      </c>
      <c r="P2" s="118" t="s">
        <v>37</v>
      </c>
      <c r="Q2" s="118" t="s">
        <v>38</v>
      </c>
      <c r="R2" s="118" t="s">
        <v>39</v>
      </c>
      <c r="S2" s="118" t="s">
        <v>40</v>
      </c>
      <c r="T2" s="118" t="s">
        <v>41</v>
      </c>
      <c r="U2" s="118" t="s">
        <v>42</v>
      </c>
      <c r="V2" s="119" t="s">
        <v>25</v>
      </c>
      <c r="W2" s="119" t="s">
        <v>26</v>
      </c>
      <c r="X2" s="119" t="s">
        <v>28</v>
      </c>
      <c r="Y2" s="119" t="s">
        <v>36</v>
      </c>
      <c r="Z2" s="119" t="s">
        <v>37</v>
      </c>
      <c r="AA2" s="119" t="s">
        <v>38</v>
      </c>
      <c r="AB2" s="119" t="s">
        <v>39</v>
      </c>
      <c r="AC2" s="119" t="s">
        <v>40</v>
      </c>
      <c r="AD2" s="119" t="s">
        <v>41</v>
      </c>
      <c r="AE2" s="119" t="s">
        <v>42</v>
      </c>
      <c r="AF2" s="120" t="s">
        <v>25</v>
      </c>
      <c r="AG2" s="120" t="s">
        <v>26</v>
      </c>
      <c r="AH2" s="120" t="s">
        <v>28</v>
      </c>
      <c r="AI2" s="120" t="s">
        <v>36</v>
      </c>
      <c r="AJ2" s="120" t="s">
        <v>37</v>
      </c>
      <c r="AK2" s="120" t="s">
        <v>38</v>
      </c>
      <c r="AL2" s="120" t="s">
        <v>39</v>
      </c>
      <c r="AM2" s="120" t="s">
        <v>40</v>
      </c>
      <c r="AN2" s="120" t="s">
        <v>41</v>
      </c>
      <c r="AO2" s="120" t="s">
        <v>42</v>
      </c>
      <c r="AP2" s="121" t="s">
        <v>25</v>
      </c>
      <c r="AQ2" s="121" t="s">
        <v>26</v>
      </c>
      <c r="AR2" s="121" t="s">
        <v>28</v>
      </c>
      <c r="AS2" s="121" t="s">
        <v>36</v>
      </c>
      <c r="AT2" s="121" t="s">
        <v>37</v>
      </c>
      <c r="AU2" s="121" t="s">
        <v>38</v>
      </c>
      <c r="AV2" s="121" t="s">
        <v>39</v>
      </c>
      <c r="AW2" s="121" t="s">
        <v>40</v>
      </c>
      <c r="AX2" s="121" t="s">
        <v>41</v>
      </c>
      <c r="AY2" s="121" t="s">
        <v>42</v>
      </c>
      <c r="AZ2" s="136"/>
      <c r="BA2" s="117"/>
    </row>
    <row r="3" spans="1:55" ht="45">
      <c r="A3" s="122" t="s">
        <v>366</v>
      </c>
      <c r="B3" s="122" t="s">
        <v>366</v>
      </c>
      <c r="C3" s="122" t="s">
        <v>367</v>
      </c>
      <c r="D3" s="123" t="s">
        <v>368</v>
      </c>
      <c r="E3" s="122" t="s">
        <v>369</v>
      </c>
      <c r="F3" s="124" t="s">
        <v>370</v>
      </c>
      <c r="G3" s="124">
        <v>2</v>
      </c>
      <c r="H3" s="122"/>
      <c r="I3" s="122"/>
      <c r="J3" s="125" t="s">
        <v>371</v>
      </c>
      <c r="K3" s="125" t="s">
        <v>396</v>
      </c>
      <c r="L3" s="125" t="s">
        <v>372</v>
      </c>
      <c r="M3" s="125" t="s">
        <v>373</v>
      </c>
      <c r="N3" s="125" t="s">
        <v>374</v>
      </c>
      <c r="O3" s="125" t="s">
        <v>397</v>
      </c>
      <c r="P3" s="125" t="s">
        <v>375</v>
      </c>
      <c r="Q3" s="125" t="s">
        <v>54</v>
      </c>
      <c r="R3" s="125" t="s">
        <v>376</v>
      </c>
      <c r="S3" s="125">
        <v>150</v>
      </c>
      <c r="T3" s="125">
        <v>2</v>
      </c>
      <c r="U3" s="125">
        <v>2</v>
      </c>
      <c r="V3" s="126">
        <f xml:space="preserve"> -0.001 * $V$1^2 + 0.172 * $V$1 + 18.1</f>
        <v>21.14</v>
      </c>
      <c r="W3" s="126">
        <f xml:space="preserve"> 0.0035 * $V$1^2 - 0.409 * $V$1 + 20.1</f>
        <v>13.320000000000002</v>
      </c>
      <c r="X3" s="126">
        <f xml:space="preserve"> 0.00003 * $V$1^2 - 0.002 * $V$1 + 0.064</f>
        <v>3.6000000000000004E-2</v>
      </c>
      <c r="Y3" s="126">
        <f xml:space="preserve"> 0.2</f>
        <v>0.2</v>
      </c>
      <c r="Z3" s="126">
        <f xml:space="preserve"> 0.0063 *$V$1^2 - 0.6028 *$V$1 + 44.4</f>
        <v>34.863999999999997</v>
      </c>
      <c r="AA3" s="126">
        <f>2*'[1]DATOS SO2 Y CO2'!$B$30*Z3</f>
        <v>2.0918399999999998E-3</v>
      </c>
      <c r="AB3" s="19">
        <f>(44.011*(Z3/(12.011+1.008*1.8)))-(V3/28.011)-(W3/13.85)-((Y3*BB3)/12.011)-((Y3*BB3*BC3)/13.85)</f>
        <v>109.25299689056686</v>
      </c>
      <c r="AC3" s="126">
        <v>150</v>
      </c>
      <c r="AD3" s="126">
        <v>2</v>
      </c>
      <c r="AE3" s="126">
        <v>2</v>
      </c>
      <c r="AF3" s="127">
        <f xml:space="preserve"> 0.0001 * $AF$1^2 + 0.05 * $AF$1 + 21.5</f>
        <v>24.86</v>
      </c>
      <c r="AG3" s="127">
        <f xml:space="preserve"> 0.0003 * $AF$1^2 - 0.0524 * $AF$1 + 10.6</f>
        <v>8.5359999999999996</v>
      </c>
      <c r="AH3" s="127">
        <f xml:space="preserve"> -0.00002 * $AF$1^2 + 0.0049 * $AF$1 - 0.157</f>
        <v>6.4999999999999974E-2</v>
      </c>
      <c r="AI3" s="127">
        <f xml:space="preserve"> 0.2</f>
        <v>0.2</v>
      </c>
      <c r="AJ3" s="127">
        <f xml:space="preserve"> -0.0005 *$AF$1^2 + 0.2375 *$AF$1 + 18.2</f>
        <v>30.65</v>
      </c>
      <c r="AK3" s="127">
        <f>2*'[1]DATOS SO2 Y CO2'!$B$30*AJ3</f>
        <v>1.8389999999999999E-3</v>
      </c>
      <c r="AL3" s="127">
        <f>(44.011*(AJ3/(12.011+1.008*1.8)))-(AF3/28.011)-(AG3/13.85)-((AI3*BB3)/12.011)-((AI3*BB3*BC3)/13.85)</f>
        <v>96.050996728691345</v>
      </c>
      <c r="AM3" s="127">
        <v>150</v>
      </c>
      <c r="AN3" s="127">
        <v>2</v>
      </c>
      <c r="AO3" s="127">
        <v>2</v>
      </c>
      <c r="AP3" s="128">
        <f xml:space="preserve"> 0.0001 * $AP$1^2 + 0.05 * $AP$1 + 21.5</f>
        <v>27.5</v>
      </c>
      <c r="AQ3" s="128">
        <f xml:space="preserve"> 0.0003 * $AP$1^2 - 0.0524 * $AP$1 + 10.6</f>
        <v>8.36</v>
      </c>
      <c r="AR3" s="128">
        <f xml:space="preserve"> -0.00002 * $AP$1^2 + 0.0049 * $AP$1 - 0.157</f>
        <v>0.13299999999999998</v>
      </c>
      <c r="AS3" s="128">
        <f xml:space="preserve"> 0.2</f>
        <v>0.2</v>
      </c>
      <c r="AT3" s="128">
        <f xml:space="preserve"> -0.0005 *$AP$1^2 + 0.2375 *$AP$1 + 18.2</f>
        <v>36.950000000000003</v>
      </c>
      <c r="AU3" s="128">
        <f>2*'[1]DATOS SO2 Y CO2'!$B$30*AT3</f>
        <v>2.2170000000000002E-3</v>
      </c>
      <c r="AV3" s="128">
        <f>(44.011*(AT3/(12.011+1.008*1.8)))-(AP3/28.011)-(AQ3/13.85)-((AS3*BB3)/12.011)-((AS3*BB3*BC3)/13.85)</f>
        <v>116.02452093646933</v>
      </c>
      <c r="AW3" s="128">
        <v>150</v>
      </c>
      <c r="AX3" s="128">
        <v>2</v>
      </c>
      <c r="AY3" s="128">
        <v>2</v>
      </c>
      <c r="AZ3" s="125"/>
      <c r="BA3" s="125" t="s">
        <v>377</v>
      </c>
      <c r="BB3" s="105">
        <f>+'[1]DATOS SO2 Y CO2'!$D$92</f>
        <v>0.1</v>
      </c>
      <c r="BC3" s="105">
        <f>+'[1]DATOS SO2 Y CO2'!$E$92</f>
        <v>9</v>
      </c>
    </row>
    <row r="4" spans="1:55" ht="67.5">
      <c r="A4" s="122" t="s">
        <v>366</v>
      </c>
      <c r="B4" s="122" t="s">
        <v>366</v>
      </c>
      <c r="C4" s="122" t="s">
        <v>367</v>
      </c>
      <c r="D4" s="123" t="s">
        <v>368</v>
      </c>
      <c r="E4" s="122" t="s">
        <v>369</v>
      </c>
      <c r="F4" s="124" t="s">
        <v>370</v>
      </c>
      <c r="G4" s="124">
        <v>4</v>
      </c>
      <c r="H4" s="122"/>
      <c r="I4" s="122"/>
      <c r="J4" s="125" t="s">
        <v>378</v>
      </c>
      <c r="K4" s="125" t="s">
        <v>398</v>
      </c>
      <c r="L4" s="125" t="s">
        <v>379</v>
      </c>
      <c r="M4" s="125" t="s">
        <v>380</v>
      </c>
      <c r="N4" s="125" t="s">
        <v>381</v>
      </c>
      <c r="O4" s="125" t="s">
        <v>399</v>
      </c>
      <c r="P4" s="125" t="s">
        <v>382</v>
      </c>
      <c r="Q4" s="125" t="s">
        <v>54</v>
      </c>
      <c r="R4" s="125" t="s">
        <v>376</v>
      </c>
      <c r="S4" s="125">
        <v>200</v>
      </c>
      <c r="T4" s="125">
        <v>2</v>
      </c>
      <c r="U4" s="125">
        <v>2</v>
      </c>
      <c r="V4" s="126">
        <f>0.0139* $V$1^2 - 1.42* $V$1 + 55</f>
        <v>32.159999999999997</v>
      </c>
      <c r="W4" s="126">
        <f xml:space="preserve"> 0.0015* $V$1^2 - 0.164* $V$1 + 5.51</f>
        <v>2.8299999999999996</v>
      </c>
      <c r="X4" s="126">
        <f xml:space="preserve"> 0.00005* $V$1^2 - 0.0009* $V$1 + 0.092</f>
        <v>9.4E-2</v>
      </c>
      <c r="Y4" s="126">
        <f xml:space="preserve"> 0.02</f>
        <v>0.02</v>
      </c>
      <c r="Z4" s="126">
        <f xml:space="preserve"> 0.0273*$V$1^2 - 2.849*$V$1 + 98.9</f>
        <v>52.84</v>
      </c>
      <c r="AA4" s="126">
        <f>2*'[1]DATOS SO2 Y CO2'!$B$30*Z4</f>
        <v>3.1704000000000003E-3</v>
      </c>
      <c r="AB4" s="19">
        <f>(44.011*(Z4/(12.011+1.008*1.8)))-(V4/28.011)-(W4/13.85)-((Y4*BB4)/12.011)-((Y4*BB4*BC4)/13.85)</f>
        <v>166.85396586762025</v>
      </c>
      <c r="AC4" s="126">
        <v>200</v>
      </c>
      <c r="AD4" s="126">
        <v>2</v>
      </c>
      <c r="AE4" s="126">
        <v>2</v>
      </c>
      <c r="AF4" s="127">
        <f xml:space="preserve"> 0.0009* $AF$1^2 - 0.0099* $AF$1 + 17.8</f>
        <v>20.446000000000002</v>
      </c>
      <c r="AG4" s="127">
        <f xml:space="preserve"> 0.00001* $AF$1^2 + 0.0005* $AF$1 + 0.86</f>
        <v>0.92599999999999993</v>
      </c>
      <c r="AH4" s="127">
        <f xml:space="preserve"> 0.00002* $AF$1^2 + 0.0007* $AF$1 + 0.104</f>
        <v>0.21800000000000003</v>
      </c>
      <c r="AI4" s="127">
        <f xml:space="preserve"> 0.02</f>
        <v>0.02</v>
      </c>
      <c r="AJ4" s="127">
        <f xml:space="preserve"> 0.0021*$AF$1^2 - 0.155*$AF$1 + 29.2</f>
        <v>27.459999999999997</v>
      </c>
      <c r="AK4" s="127">
        <f>2*'[1]DATOS SO2 Y CO2'!$B$30*AJ4</f>
        <v>1.6475999999999999E-3</v>
      </c>
      <c r="AL4" s="127">
        <f>(44.011*(AJ4/(12.011+1.008*1.8)))-(AF4/28.011)-(AG4/13.85)-((AI4*BB4)/12.011)-((AI4*BB4*BC4)/13.85)</f>
        <v>86.616368520221499</v>
      </c>
      <c r="AM4" s="127">
        <v>200</v>
      </c>
      <c r="AN4" s="127">
        <v>2</v>
      </c>
      <c r="AO4" s="127">
        <v>2</v>
      </c>
      <c r="AP4" s="128">
        <f xml:space="preserve"> 0.0009* $AP$1^2 - 0.0099* $AP$1 + 17.8</f>
        <v>25.810000000000002</v>
      </c>
      <c r="AQ4" s="128">
        <f xml:space="preserve"> 0.00001* $AP$1^2 + 0.0005* $AP$1 + 0.86</f>
        <v>1.01</v>
      </c>
      <c r="AR4" s="128">
        <f xml:space="preserve"> 0.00002* $AP$1^2 + 0.0007* $AP$1 + 0.104</f>
        <v>0.374</v>
      </c>
      <c r="AS4" s="128">
        <f xml:space="preserve"> 0.02</f>
        <v>0.02</v>
      </c>
      <c r="AT4" s="128">
        <f xml:space="preserve"> 0.0021*$AP$1^2 - 0.155*$AP$1 + 29.2</f>
        <v>34.700000000000003</v>
      </c>
      <c r="AU4" s="128">
        <f>2*'[1]DATOS SO2 Y CO2'!$B$30*AT4</f>
        <v>2.0820000000000001E-3</v>
      </c>
      <c r="AV4" s="128">
        <f>(44.011*(AT4/(12.011+1.008*1.8)))-(AP4/28.011)-(AQ4/13.85)-((AS4*BB4)/12.011)-((AS4*BB4*BC4)/13.85)</f>
        <v>109.46621573359701</v>
      </c>
      <c r="AW4" s="128">
        <v>200</v>
      </c>
      <c r="AX4" s="128">
        <v>2</v>
      </c>
      <c r="AY4" s="128">
        <v>2</v>
      </c>
      <c r="AZ4" s="125"/>
      <c r="BA4" s="125" t="s">
        <v>377</v>
      </c>
      <c r="BB4" s="105">
        <f>+'[1]DATOS SO2 Y CO2'!$D$95</f>
        <v>0.15</v>
      </c>
      <c r="BC4" s="105">
        <f>+'[1]DATOS SO2 Y CO2'!$E$95</f>
        <v>5.6</v>
      </c>
    </row>
    <row r="5" spans="1:55" ht="45">
      <c r="A5" s="122" t="s">
        <v>366</v>
      </c>
      <c r="B5" s="122" t="s">
        <v>383</v>
      </c>
      <c r="C5" s="122" t="s">
        <v>384</v>
      </c>
      <c r="D5" s="123" t="s">
        <v>385</v>
      </c>
      <c r="E5" s="122" t="s">
        <v>369</v>
      </c>
      <c r="F5" s="129" t="s">
        <v>370</v>
      </c>
      <c r="G5" s="129">
        <v>4</v>
      </c>
      <c r="H5" s="122" t="s">
        <v>386</v>
      </c>
      <c r="I5" s="122" t="s">
        <v>387</v>
      </c>
      <c r="J5" s="125" t="s">
        <v>388</v>
      </c>
      <c r="K5" s="125" t="s">
        <v>400</v>
      </c>
      <c r="L5" s="125" t="s">
        <v>401</v>
      </c>
      <c r="M5" s="125" t="s">
        <v>402</v>
      </c>
      <c r="N5" s="125" t="s">
        <v>403</v>
      </c>
      <c r="O5" s="125" t="s">
        <v>399</v>
      </c>
      <c r="P5" s="125" t="s">
        <v>404</v>
      </c>
      <c r="Q5" s="125" t="s">
        <v>54</v>
      </c>
      <c r="R5" s="125" t="s">
        <v>376</v>
      </c>
      <c r="S5" s="125">
        <v>200</v>
      </c>
      <c r="T5" s="125">
        <v>2</v>
      </c>
      <c r="U5" s="125">
        <v>2</v>
      </c>
      <c r="V5" s="126">
        <f xml:space="preserve"> 8.73 + -0.0402 * $V$1 + 0.00151 * $V$1^2</f>
        <v>8.5299999999999994</v>
      </c>
      <c r="W5" s="126">
        <f xml:space="preserve"> 1.78 + -0.0258 * $V$1 + 0.000159* $V$1^2</f>
        <v>1.3275999999999999</v>
      </c>
      <c r="X5" s="126">
        <f xml:space="preserve"> 0.191+ 0.00043 * $V$1 + 0.0000523 * $V$1^2</f>
        <v>0.22051999999999999</v>
      </c>
      <c r="Y5" s="126">
        <f xml:space="preserve"> 0.02</f>
        <v>0.02</v>
      </c>
      <c r="Z5" s="126">
        <f xml:space="preserve"> 46.5 + -0.696 * $V$1 + 0.00644 * $V$1^2</f>
        <v>35.155999999999999</v>
      </c>
      <c r="AA5" s="126">
        <f>2*'[1]DATOS SO2 Y CO2'!$B$30*Z5</f>
        <v>2.1093599999999998E-3</v>
      </c>
      <c r="AB5" s="19">
        <f>(44.011*(Z5/(12.011+1.008*1.8)))-(V5/28.011)-(W5/13.85)-((Y5*BB5)/12.011)-((Y5*BB5*BC5)/13.85)</f>
        <v>111.51175300642905</v>
      </c>
      <c r="AC5" s="126">
        <v>200</v>
      </c>
      <c r="AD5" s="126">
        <v>2</v>
      </c>
      <c r="AE5" s="126">
        <v>2</v>
      </c>
      <c r="AF5" s="127">
        <f xml:space="preserve"> 8.73 + -0.0402 * $AF$1 + 0.00151 * $AF$1^2</f>
        <v>11.754000000000001</v>
      </c>
      <c r="AG5" s="127">
        <f xml:space="preserve"> 1.78 + -0.0258 * $AF$1 + 0.000159* $AF$1^2</f>
        <v>0.80439999999999989</v>
      </c>
      <c r="AH5" s="127">
        <f xml:space="preserve"> 0.191+ 0.00043 * $AF$1 + 0.0000523 * $AF$1^2</f>
        <v>0.40508</v>
      </c>
      <c r="AI5" s="127">
        <f xml:space="preserve"> 0.02</f>
        <v>0.02</v>
      </c>
      <c r="AJ5" s="127">
        <f xml:space="preserve"> 46.5 + -0.696 * $AF$1 + 0.00644 * $AF$1^2</f>
        <v>27.924000000000003</v>
      </c>
      <c r="AK5" s="127">
        <f>2*'[1]DATOS SO2 Y CO2'!$B$30*AJ5</f>
        <v>1.6754400000000003E-3</v>
      </c>
      <c r="AL5" s="127">
        <f>(44.011*(AJ5/(12.011+1.008*1.8)))-(AF5/28.011)-(AG5/13.85)-((AI5*BB5)/12.011)-((AI5*BB5*BC5)/13.85)</f>
        <v>88.412489895860062</v>
      </c>
      <c r="AM5" s="127">
        <v>200</v>
      </c>
      <c r="AN5" s="127">
        <v>2</v>
      </c>
      <c r="AO5" s="127">
        <v>2</v>
      </c>
      <c r="AP5" s="128">
        <f xml:space="preserve"> 8.73 + -0.0402 * $AP$1 + 0.00151 * $AP$1^2</f>
        <v>19.810000000000002</v>
      </c>
      <c r="AQ5" s="128">
        <f xml:space="preserve"> 1.78 + -0.0258 * $AP$1 + 0.000159* $AP$1^2</f>
        <v>0.78999999999999981</v>
      </c>
      <c r="AR5" s="128">
        <f xml:space="preserve"> 0.191+ 0.00043 * $AP$1 + 0.0000523 * $AP$1^2</f>
        <v>0.75700000000000001</v>
      </c>
      <c r="AS5" s="128">
        <f xml:space="preserve"> 0.02</f>
        <v>0.02</v>
      </c>
      <c r="AT5" s="128">
        <f xml:space="preserve"> 46.5 + -0.696 * $AP$1 + 0.00644 * $AP$1^2</f>
        <v>41.300000000000011</v>
      </c>
      <c r="AU5" s="128">
        <f>2*'[1]DATOS SO2 Y CO2'!$B$30*AT5</f>
        <v>2.4780000000000006E-3</v>
      </c>
      <c r="AV5" s="128">
        <f>(44.011*(AT5/(12.011+1.008*1.8)))-(AP5/28.011)-(AQ5/13.85)-((AS5*BB5)/12.011)-((AS5*BB5*BC5)/13.85)</f>
        <v>130.70633364845625</v>
      </c>
      <c r="AW5" s="128">
        <v>200</v>
      </c>
      <c r="AX5" s="128">
        <v>2</v>
      </c>
      <c r="AY5" s="128">
        <v>2</v>
      </c>
      <c r="AZ5" s="125" t="s">
        <v>405</v>
      </c>
      <c r="BA5" s="125" t="s">
        <v>377</v>
      </c>
      <c r="BB5" s="105">
        <f>+'[1]DATOS SO2 Y CO2'!$D$96</f>
        <v>0.25</v>
      </c>
      <c r="BC5" s="105">
        <f>+'[1]DATOS SO2 Y CO2'!$E$96</f>
        <v>3</v>
      </c>
    </row>
    <row r="6" spans="1:55" ht="67.5">
      <c r="A6" s="122" t="s">
        <v>366</v>
      </c>
      <c r="B6" s="122" t="s">
        <v>383</v>
      </c>
      <c r="C6" s="122" t="s">
        <v>384</v>
      </c>
      <c r="D6" s="123" t="s">
        <v>389</v>
      </c>
      <c r="E6" s="122" t="s">
        <v>369</v>
      </c>
      <c r="F6" s="129" t="s">
        <v>370</v>
      </c>
      <c r="G6" s="129">
        <v>2</v>
      </c>
      <c r="H6" s="122" t="s">
        <v>386</v>
      </c>
      <c r="I6" s="122" t="s">
        <v>387</v>
      </c>
      <c r="J6" s="125" t="s">
        <v>390</v>
      </c>
      <c r="K6" s="125" t="s">
        <v>406</v>
      </c>
      <c r="L6" s="125" t="s">
        <v>407</v>
      </c>
      <c r="M6" s="125" t="s">
        <v>408</v>
      </c>
      <c r="N6" s="125" t="s">
        <v>409</v>
      </c>
      <c r="O6" s="125" t="s">
        <v>410</v>
      </c>
      <c r="P6" s="125" t="s">
        <v>411</v>
      </c>
      <c r="Q6" s="125" t="s">
        <v>54</v>
      </c>
      <c r="R6" s="125" t="s">
        <v>376</v>
      </c>
      <c r="S6" s="125">
        <v>150</v>
      </c>
      <c r="T6" s="125">
        <v>2</v>
      </c>
      <c r="U6" s="125">
        <v>2</v>
      </c>
      <c r="V6" s="126">
        <f>-0.0063*$V$1^2+0.715*$V$1-6.9</f>
        <v>4.879999999999999</v>
      </c>
      <c r="W6" s="126">
        <f>-0.001*$V$1^2+0.097*$V$1+3.9</f>
        <v>5.4399999999999995</v>
      </c>
      <c r="X6" s="126">
        <f xml:space="preserve"> 0.00002*$V$1^2-0.001+$V$1+0.032</f>
        <v>20.039000000000001</v>
      </c>
      <c r="Y6" s="126">
        <f xml:space="preserve"> 0.08</f>
        <v>0.08</v>
      </c>
      <c r="Z6" s="126">
        <f>-0.0011*$V$1^2 +0.2008*$V$1+17.8</f>
        <v>21.376000000000001</v>
      </c>
      <c r="AA6" s="126">
        <f>2*'[1]DATOS SO2 Y CO2'!$B$30*Z6</f>
        <v>1.2825600000000001E-3</v>
      </c>
      <c r="AB6" s="19">
        <f>(44.011*(Z6/(12.011+1.008*1.8)))-(V6/28.011)-(W6/13.85)-((Y6*BB6)/12.011)-((Y6*BB6*BC6)/13.85)</f>
        <v>67.47420484065411</v>
      </c>
      <c r="AC6" s="126">
        <v>150</v>
      </c>
      <c r="AD6" s="126">
        <v>2</v>
      </c>
      <c r="AE6" s="126">
        <v>2</v>
      </c>
      <c r="AF6" s="127">
        <f>0.0007*$AF$1^2 +0.157*$AF$1 +6</f>
        <v>17.939999999999998</v>
      </c>
      <c r="AG6" s="127">
        <f xml:space="preserve"> -0.0003*$AF$1^2 + 0.0325*$AF$1 + 5.2</f>
        <v>6.07</v>
      </c>
      <c r="AH6" s="127">
        <f xml:space="preserve"> -0.00002*$AF$1^2 +0.0041*$AF$1 - 0.152</f>
        <v>2.200000000000002E-2</v>
      </c>
      <c r="AI6" s="127">
        <f xml:space="preserve"> 0.08</f>
        <v>0.08</v>
      </c>
      <c r="AJ6" s="127">
        <f xml:space="preserve"> -0.001*$AF$1^2 +0.2425*$AF$1 + 14.6</f>
        <v>25.549999999999997</v>
      </c>
      <c r="AK6" s="127">
        <f>2*'[1]DATOS SO2 Y CO2'!$B$30*AJ6</f>
        <v>1.5329999999999999E-3</v>
      </c>
      <c r="AL6" s="127">
        <f>(44.011*(AJ6/(12.011+1.008*1.8)))-(AF6/28.011)-(AG6/13.85)-((AI6*BB6)/12.011)-((AI6*BB6*BC6)/13.85)</f>
        <v>80.249748679266844</v>
      </c>
      <c r="AM6" s="127">
        <v>150</v>
      </c>
      <c r="AN6" s="127">
        <v>2</v>
      </c>
      <c r="AO6" s="127">
        <v>2</v>
      </c>
      <c r="AP6" s="128">
        <f>0.0007*$AP$1^2 +0.157*$AP$1 +6</f>
        <v>28.7</v>
      </c>
      <c r="AQ6" s="128">
        <f xml:space="preserve"> -0.0003*$AP$1^2 + 0.0325*$AP$1 + 5.2</f>
        <v>5.4500000000000011</v>
      </c>
      <c r="AR6" s="128">
        <f xml:space="preserve"> -0.00002*$AP$1^2 +0.0041*$AP$1 - 0.152</f>
        <v>5.8000000000000024E-2</v>
      </c>
      <c r="AS6" s="128">
        <f xml:space="preserve"> 0.08</f>
        <v>0.08</v>
      </c>
      <c r="AT6" s="128">
        <f xml:space="preserve"> -0.001*$AP$1^2 +0.2425*$AP$1 + 14.6</f>
        <v>28.85</v>
      </c>
      <c r="AU6" s="128">
        <f>2*'[1]DATOS SO2 Y CO2'!$B$30*AT6</f>
        <v>1.7310000000000001E-3</v>
      </c>
      <c r="AV6" s="128">
        <f>(44.011*(AT6/(12.011+1.008*1.8)))-(AP6/28.011)-(AQ6/13.85)-((AS6*BB6)/12.011)-((AS6*BB6*BC6)/13.85)</f>
        <v>90.415413430434754</v>
      </c>
      <c r="AW6" s="128">
        <v>150</v>
      </c>
      <c r="AX6" s="128">
        <v>2</v>
      </c>
      <c r="AY6" s="128">
        <v>2</v>
      </c>
      <c r="AZ6" s="125"/>
      <c r="BA6" s="125" t="s">
        <v>377</v>
      </c>
      <c r="BB6" s="105">
        <f>+'[1]DATOS SO2 Y CO2'!$D$93</f>
        <v>0.2</v>
      </c>
      <c r="BC6" s="105">
        <f>+'[1]DATOS SO2 Y CO2'!$E$93</f>
        <v>4</v>
      </c>
    </row>
    <row r="7" spans="1:55" ht="33.75">
      <c r="A7" s="122" t="s">
        <v>366</v>
      </c>
      <c r="B7" s="122" t="s">
        <v>391</v>
      </c>
      <c r="C7" s="122" t="s">
        <v>384</v>
      </c>
      <c r="D7" s="123" t="s">
        <v>392</v>
      </c>
      <c r="E7" s="122" t="s">
        <v>393</v>
      </c>
      <c r="F7" s="129" t="s">
        <v>394</v>
      </c>
      <c r="G7" s="129">
        <v>2.4</v>
      </c>
      <c r="H7" s="122"/>
      <c r="I7" s="122" t="s">
        <v>395</v>
      </c>
      <c r="J7" s="125"/>
      <c r="K7" s="125" t="s">
        <v>412</v>
      </c>
      <c r="L7" s="125">
        <v>1.3</v>
      </c>
      <c r="M7" s="125">
        <v>1.56</v>
      </c>
      <c r="N7" s="125">
        <v>0.26</v>
      </c>
      <c r="O7" s="125" t="s">
        <v>413</v>
      </c>
      <c r="P7" s="125">
        <v>12.08</v>
      </c>
      <c r="Q7" s="125" t="s">
        <v>54</v>
      </c>
      <c r="R7" s="125" t="s">
        <v>376</v>
      </c>
      <c r="S7" s="125" t="s">
        <v>414</v>
      </c>
      <c r="T7" s="125">
        <v>1</v>
      </c>
      <c r="U7" s="125">
        <v>1</v>
      </c>
      <c r="V7" s="126">
        <v>1.3</v>
      </c>
      <c r="W7" s="126">
        <v>1.56</v>
      </c>
      <c r="X7" s="126">
        <v>0.26</v>
      </c>
      <c r="Y7" s="126">
        <f xml:space="preserve"> 0.0376</f>
        <v>3.7600000000000001E-2</v>
      </c>
      <c r="Z7" s="126">
        <v>12.08</v>
      </c>
      <c r="AA7" s="126">
        <f>2*'[1]DATOS SO2 Y CO2'!$B$30*Z7</f>
        <v>7.2480000000000005E-4</v>
      </c>
      <c r="AB7" s="19">
        <f>(44.011*(Z7/(12.011+1.008*1.8)))-(V7/28.011)-(W7/13.85)-((Y7*BB7)/12.011)-((Y7*BB7*BC7)/13.85)</f>
        <v>38.292948252994627</v>
      </c>
      <c r="AC7" s="126">
        <f xml:space="preserve"> 150*(1-89%)</f>
        <v>16.499999999999996</v>
      </c>
      <c r="AD7" s="126">
        <v>1</v>
      </c>
      <c r="AE7" s="126">
        <v>1</v>
      </c>
      <c r="AF7" s="127">
        <v>1.3</v>
      </c>
      <c r="AG7" s="127">
        <v>1.56</v>
      </c>
      <c r="AH7" s="127">
        <v>0.26</v>
      </c>
      <c r="AI7" s="127">
        <f xml:space="preserve"> 0.0376</f>
        <v>3.7600000000000001E-2</v>
      </c>
      <c r="AJ7" s="127">
        <v>12.08</v>
      </c>
      <c r="AK7" s="127">
        <f>2*'[1]DATOS SO2 Y CO2'!$B$30*AJ7</f>
        <v>7.2480000000000005E-4</v>
      </c>
      <c r="AL7" s="127">
        <f>(44.011*(AJ7/(12.011+1.008*1.8)))-(AF7/28.011)-(AG7/13.85)-((AI7*BB7)/12.011)-((AI7*BB7*BC7)/13.85)</f>
        <v>38.292948252994627</v>
      </c>
      <c r="AM7" s="127">
        <f xml:space="preserve"> 150*(1-89%)</f>
        <v>16.499999999999996</v>
      </c>
      <c r="AN7" s="127">
        <v>1</v>
      </c>
      <c r="AO7" s="127">
        <v>1</v>
      </c>
      <c r="AP7" s="128">
        <v>1.3</v>
      </c>
      <c r="AQ7" s="128">
        <v>1.56</v>
      </c>
      <c r="AR7" s="128">
        <v>0.26</v>
      </c>
      <c r="AS7" s="128">
        <f xml:space="preserve"> 0.0376</f>
        <v>3.7600000000000001E-2</v>
      </c>
      <c r="AT7" s="128">
        <v>12.08</v>
      </c>
      <c r="AU7" s="128">
        <f>2*'[1]DATOS SO2 Y CO2'!$B$30*AT7</f>
        <v>7.2480000000000005E-4</v>
      </c>
      <c r="AV7" s="128">
        <f>(44.011*(AT7/(12.011+1.008*1.8)))-(AP7/28.011)-(AQ7/13.85)-((AS7*BB7)/12.011)-((AS7*BB7*BC7)/13.85)</f>
        <v>38.292948252994627</v>
      </c>
      <c r="AW7" s="128">
        <f xml:space="preserve"> 150*(1-89%)</f>
        <v>16.499999999999996</v>
      </c>
      <c r="AX7" s="128">
        <v>1</v>
      </c>
      <c r="AY7" s="128">
        <v>1</v>
      </c>
      <c r="AZ7" s="125" t="s">
        <v>415</v>
      </c>
      <c r="BA7" s="125" t="s">
        <v>377</v>
      </c>
      <c r="BB7" s="105">
        <f>+'[1]DATOS SO2 Y CO2'!$D$94</f>
        <v>0.2</v>
      </c>
      <c r="BC7" s="105">
        <f>+'[1]DATOS SO2 Y CO2'!$E$94</f>
        <v>4</v>
      </c>
    </row>
  </sheetData>
  <mergeCells count="4">
    <mergeCell ref="V1:AE1"/>
    <mergeCell ref="AF1:AO1"/>
    <mergeCell ref="AP1:AY1"/>
    <mergeCell ref="L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Hoja6</vt:lpstr>
      <vt:lpstr>Hoja7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2010-09-30T02:50:32Z</dcterms:created>
  <dcterms:modified xsi:type="dcterms:W3CDTF">2010-09-30T11:29:32Z</dcterms:modified>
</cp:coreProperties>
</file>